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340" tabRatio="866"/>
  </bookViews>
  <sheets>
    <sheet name="Input" sheetId="1" r:id="rId1"/>
    <sheet name="Building structures" sheetId="2" r:id="rId2"/>
    <sheet name="Building windows" sheetId="3" r:id="rId3"/>
    <sheet name="Radiation" sheetId="5" r:id="rId4"/>
    <sheet name="Transfer" sheetId="4" r:id="rId5"/>
    <sheet name="Ventilation" sheetId="6" r:id="rId6"/>
    <sheet name="Q sol" sheetId="11" r:id="rId7"/>
    <sheet name="Q int" sheetId="12" r:id="rId8"/>
    <sheet name="eta calculation" sheetId="7" r:id="rId9"/>
  </sheets>
  <calcPr calcId="152511"/>
</workbook>
</file>

<file path=xl/calcChain.xml><?xml version="1.0" encoding="utf-8"?>
<calcChain xmlns="http://schemas.openxmlformats.org/spreadsheetml/2006/main">
  <c r="F30" i="1" l="1"/>
  <c r="F29" i="1"/>
  <c r="C30" i="1"/>
  <c r="C29" i="1"/>
  <c r="F18" i="1"/>
  <c r="C8" i="1"/>
  <c r="H16" i="3" l="1"/>
  <c r="H15" i="3"/>
  <c r="C16" i="3"/>
  <c r="C15" i="3"/>
  <c r="D4" i="3"/>
  <c r="J69" i="2"/>
  <c r="C69" i="2"/>
  <c r="E13" i="2"/>
  <c r="C13" i="2"/>
  <c r="F13" i="2" s="1"/>
  <c r="C24" i="6" l="1"/>
  <c r="C14" i="11" l="1"/>
  <c r="C16" i="11" s="1"/>
  <c r="I13" i="4" l="1"/>
  <c r="J13" i="4" s="1"/>
  <c r="G13" i="4"/>
  <c r="H13" i="4" s="1"/>
  <c r="D15" i="1"/>
  <c r="C98" i="2" s="1"/>
  <c r="D14" i="1"/>
  <c r="C99" i="2" s="1"/>
  <c r="D7" i="1"/>
  <c r="D8" i="1"/>
  <c r="D6" i="1"/>
  <c r="D13" i="4"/>
  <c r="C13" i="4"/>
  <c r="C27" i="3"/>
  <c r="C89" i="2"/>
  <c r="M78" i="2" l="1"/>
  <c r="M71" i="2"/>
  <c r="M70" i="2"/>
  <c r="M69" i="2"/>
  <c r="M68" i="2"/>
  <c r="M73" i="2" l="1"/>
  <c r="M74" i="2" s="1"/>
  <c r="M76" i="2"/>
  <c r="M77" i="2" s="1"/>
  <c r="M79" i="2" s="1"/>
  <c r="D4" i="12" l="1"/>
  <c r="D6" i="12" s="1"/>
  <c r="F17" i="11"/>
  <c r="F16" i="11"/>
  <c r="H8" i="11"/>
  <c r="G8" i="11"/>
  <c r="D8" i="11"/>
  <c r="C8" i="11"/>
  <c r="D27" i="11"/>
  <c r="C27" i="11"/>
  <c r="C28" i="11" l="1"/>
  <c r="D28" i="11"/>
  <c r="C3" i="6" l="1"/>
  <c r="C7" i="6" s="1"/>
  <c r="C22" i="6" s="1"/>
  <c r="C26" i="6" s="1"/>
  <c r="C9" i="6"/>
  <c r="C8" i="6"/>
  <c r="C10" i="6"/>
  <c r="C12" i="6" l="1"/>
  <c r="C14" i="6" s="1"/>
  <c r="C15" i="6" s="1"/>
  <c r="C21" i="6"/>
  <c r="C27" i="6" s="1"/>
  <c r="C28" i="6" l="1"/>
  <c r="C29" i="6" s="1"/>
  <c r="C30" i="6" s="1"/>
  <c r="C59" i="1" s="1"/>
  <c r="M36" i="2"/>
  <c r="F14" i="5"/>
  <c r="G38" i="1"/>
  <c r="F14" i="11" s="1"/>
  <c r="I20" i="5"/>
  <c r="I17" i="5"/>
  <c r="L5" i="5"/>
  <c r="C9" i="7" l="1"/>
  <c r="M62" i="2"/>
  <c r="M57" i="2"/>
  <c r="M53" i="2"/>
  <c r="M52" i="2"/>
  <c r="M51" i="2"/>
  <c r="M50" i="2"/>
  <c r="M49" i="2"/>
  <c r="M48" i="2"/>
  <c r="M55" i="2" s="1"/>
  <c r="M56" i="2" s="1"/>
  <c r="I16" i="5" s="1"/>
  <c r="M58" i="2" l="1"/>
  <c r="M60" i="2"/>
  <c r="M61" i="2" s="1"/>
  <c r="M63" i="2" s="1"/>
  <c r="H11" i="3"/>
  <c r="H10" i="3"/>
  <c r="C11" i="3"/>
  <c r="C10" i="3"/>
  <c r="M41" i="2"/>
  <c r="M27" i="2"/>
  <c r="M30" i="2"/>
  <c r="M29" i="2"/>
  <c r="M28" i="2"/>
  <c r="M31" i="2"/>
  <c r="M32" i="2"/>
  <c r="F41" i="2"/>
  <c r="F32" i="2"/>
  <c r="F31" i="2"/>
  <c r="F30" i="2"/>
  <c r="F29" i="2"/>
  <c r="F28" i="2"/>
  <c r="F27" i="2"/>
  <c r="M21" i="2"/>
  <c r="F10" i="2"/>
  <c r="F77" i="2"/>
  <c r="F70" i="2"/>
  <c r="F69" i="2"/>
  <c r="F68" i="2"/>
  <c r="F75" i="2" s="1"/>
  <c r="F22" i="2"/>
  <c r="F12" i="2"/>
  <c r="M9" i="2"/>
  <c r="F11" i="2"/>
  <c r="F9" i="2"/>
  <c r="M8" i="2"/>
  <c r="F8" i="2"/>
  <c r="M7" i="2"/>
  <c r="F7" i="2"/>
  <c r="F20" i="2" s="1"/>
  <c r="E38" i="1"/>
  <c r="F36" i="2" l="1"/>
  <c r="C4" i="12"/>
  <c r="C6" i="12" s="1"/>
  <c r="C10" i="12" s="1"/>
  <c r="F72" i="2"/>
  <c r="F73" i="2" s="1"/>
  <c r="M19" i="2"/>
  <c r="M20" i="2" s="1"/>
  <c r="M22" i="2" s="1"/>
  <c r="F38" i="1"/>
  <c r="C6" i="5" s="1"/>
  <c r="H17" i="3"/>
  <c r="C17" i="3"/>
  <c r="M34" i="2"/>
  <c r="M35" i="2" s="1"/>
  <c r="M37" i="2" s="1"/>
  <c r="I21" i="4" s="1"/>
  <c r="C35" i="4" s="1"/>
  <c r="D35" i="4" s="1"/>
  <c r="M39" i="2"/>
  <c r="M40" i="2" s="1"/>
  <c r="M42" i="2" s="1"/>
  <c r="F39" i="2"/>
  <c r="F40" i="2" s="1"/>
  <c r="F42" i="2" s="1"/>
  <c r="F34" i="2"/>
  <c r="F35" i="2" s="1"/>
  <c r="F76" i="2"/>
  <c r="F78" i="2" s="1"/>
  <c r="F21" i="2"/>
  <c r="F15" i="2"/>
  <c r="F16" i="2" s="1"/>
  <c r="M14" i="2"/>
  <c r="M15" i="2" s="1"/>
  <c r="C100" i="2" s="1"/>
  <c r="E3" i="2" l="1"/>
  <c r="F37" i="2"/>
  <c r="F21" i="4" s="1"/>
  <c r="C37" i="4" s="1"/>
  <c r="D37" i="4" s="1"/>
  <c r="C90" i="2"/>
  <c r="C93" i="2" s="1"/>
  <c r="D12" i="4" s="1"/>
  <c r="D15" i="4" s="1"/>
  <c r="C101" i="2"/>
  <c r="C102" i="2" s="1"/>
  <c r="C6" i="4" s="1"/>
  <c r="J82" i="2"/>
  <c r="H14" i="3"/>
  <c r="H13" i="3" s="1"/>
  <c r="H22" i="3" s="1"/>
  <c r="H23" i="3" s="1"/>
  <c r="C22" i="4" s="1"/>
  <c r="F13" i="4"/>
  <c r="C14" i="3"/>
  <c r="C13" i="3" s="1"/>
  <c r="C22" i="3" s="1"/>
  <c r="I7" i="5" s="1"/>
  <c r="E13" i="4"/>
  <c r="C7" i="5"/>
  <c r="C26" i="5" s="1"/>
  <c r="I6" i="5"/>
  <c r="I15" i="5"/>
  <c r="C25" i="5"/>
  <c r="B3" i="2"/>
  <c r="C5" i="5" s="1"/>
  <c r="I14" i="5"/>
  <c r="F4" i="3"/>
  <c r="I5" i="5" s="1"/>
  <c r="I24" i="5" s="1"/>
  <c r="F23" i="2"/>
  <c r="C82" i="2"/>
  <c r="C23" i="3" l="1"/>
  <c r="C21" i="4" s="1"/>
  <c r="J14" i="4"/>
  <c r="I14" i="4"/>
  <c r="J83" i="2"/>
  <c r="J86" i="2" s="1"/>
  <c r="C12" i="4" s="1"/>
  <c r="C15" i="4" s="1"/>
  <c r="C42" i="4" s="1"/>
  <c r="C28" i="3"/>
  <c r="C30" i="3" s="1"/>
  <c r="C31" i="3" s="1"/>
  <c r="C33" i="3" s="1"/>
  <c r="C16" i="5"/>
  <c r="I26" i="5" s="1"/>
  <c r="H11" i="11"/>
  <c r="D5" i="12"/>
  <c r="D10" i="12" s="1"/>
  <c r="E10" i="12" s="1"/>
  <c r="C61" i="1" s="1"/>
  <c r="G11" i="11"/>
  <c r="C27" i="5"/>
  <c r="I27" i="5" s="1"/>
  <c r="C15" i="5"/>
  <c r="I25" i="5"/>
  <c r="C14" i="5"/>
  <c r="J20" i="5"/>
  <c r="C24" i="5"/>
  <c r="C85" i="2"/>
  <c r="G12" i="4" s="1"/>
  <c r="C83" i="2"/>
  <c r="C8" i="7" l="1"/>
  <c r="C34" i="4"/>
  <c r="D34" i="4" s="1"/>
  <c r="J84" i="2"/>
  <c r="F12" i="4"/>
  <c r="F15" i="4" s="1"/>
  <c r="E12" i="4"/>
  <c r="E15" i="4" s="1"/>
  <c r="G15" i="4"/>
  <c r="H12" i="4"/>
  <c r="L20" i="5"/>
  <c r="E24" i="1"/>
  <c r="E23" i="1"/>
  <c r="G7" i="1" s="1"/>
  <c r="C11" i="5" s="1"/>
  <c r="D11" i="5" s="1"/>
  <c r="F11" i="5" s="1"/>
  <c r="C43" i="4" l="1"/>
  <c r="L6" i="5"/>
  <c r="I10" i="5" s="1"/>
  <c r="J10" i="5" s="1"/>
  <c r="L10" i="5" s="1"/>
  <c r="D9" i="11"/>
  <c r="C9" i="11"/>
  <c r="H15" i="4"/>
  <c r="I12" i="4"/>
  <c r="H9" i="11"/>
  <c r="H10" i="11" s="1"/>
  <c r="F21" i="11" s="1"/>
  <c r="F22" i="11" s="1"/>
  <c r="F23" i="11" s="1"/>
  <c r="G9" i="11"/>
  <c r="G10" i="11" s="1"/>
  <c r="E21" i="11" s="1"/>
  <c r="E22" i="11" s="1"/>
  <c r="E23" i="11" s="1"/>
  <c r="G8" i="1"/>
  <c r="M16" i="2" s="1"/>
  <c r="M17" i="2" s="1"/>
  <c r="I20" i="4" s="1"/>
  <c r="G6" i="1"/>
  <c r="F15" i="5"/>
  <c r="C20" i="5" s="1"/>
  <c r="D20" i="5" s="1"/>
  <c r="F20" i="5" s="1"/>
  <c r="F14" i="1"/>
  <c r="C30" i="5" s="1"/>
  <c r="D30" i="5" s="1"/>
  <c r="F30" i="5" s="1"/>
  <c r="F15" i="1"/>
  <c r="C31" i="5" s="1"/>
  <c r="D31" i="5" s="1"/>
  <c r="F31" i="5" s="1"/>
  <c r="C23" i="4" l="1"/>
  <c r="C12" i="7"/>
  <c r="C10" i="5"/>
  <c r="D10" i="5" s="1"/>
  <c r="F10" i="5" s="1"/>
  <c r="C10" i="11"/>
  <c r="C21" i="11" s="1"/>
  <c r="C22" i="11" s="1"/>
  <c r="C23" i="11" s="1"/>
  <c r="C29" i="11"/>
  <c r="C30" i="11" s="1"/>
  <c r="C31" i="11" s="1"/>
  <c r="D10" i="11"/>
  <c r="D21" i="11" s="1"/>
  <c r="D22" i="11" s="1"/>
  <c r="D23" i="11" s="1"/>
  <c r="D29" i="11"/>
  <c r="D30" i="11" s="1"/>
  <c r="D31" i="11" s="1"/>
  <c r="I15" i="4"/>
  <c r="C44" i="4" s="1"/>
  <c r="J12" i="4"/>
  <c r="J15" i="4" s="1"/>
  <c r="C45" i="4" s="1"/>
  <c r="F17" i="2"/>
  <c r="F18" i="2" s="1"/>
  <c r="L25" i="5"/>
  <c r="I30" i="5" s="1"/>
  <c r="J30" i="5" s="1"/>
  <c r="L30" i="5" s="1"/>
  <c r="C33" i="5" l="1"/>
  <c r="C46" i="4"/>
  <c r="C20" i="4"/>
  <c r="E31" i="11"/>
  <c r="I22" i="4"/>
  <c r="C6" i="7" s="1"/>
  <c r="G23" i="11"/>
  <c r="D42" i="4" l="1"/>
  <c r="D43" i="4"/>
  <c r="D44" i="4"/>
  <c r="D45" i="4"/>
  <c r="C7" i="7"/>
  <c r="C10" i="7" s="1"/>
  <c r="C13" i="7" s="1"/>
  <c r="C16" i="7" s="1"/>
  <c r="C33" i="4"/>
  <c r="D33" i="4" s="1"/>
  <c r="C25" i="4"/>
  <c r="C36" i="4" s="1"/>
  <c r="D36" i="4" s="1"/>
  <c r="C33" i="11"/>
  <c r="C60" i="1" s="1"/>
  <c r="F19" i="4"/>
  <c r="C27" i="4" s="1"/>
  <c r="C29" i="4" s="1"/>
  <c r="C4" i="7" s="1"/>
  <c r="D38" i="4" l="1"/>
  <c r="E36" i="4" s="1"/>
  <c r="C3" i="7"/>
  <c r="C5" i="7" s="1"/>
  <c r="C17" i="7" s="1"/>
  <c r="C62" i="1" s="1"/>
  <c r="C58" i="1"/>
  <c r="E34" i="4" l="1"/>
  <c r="E37" i="4"/>
  <c r="E35" i="4"/>
  <c r="E33" i="4"/>
  <c r="F61" i="1"/>
  <c r="F62" i="1" s="1"/>
</calcChain>
</file>

<file path=xl/sharedStrings.xml><?xml version="1.0" encoding="utf-8"?>
<sst xmlns="http://schemas.openxmlformats.org/spreadsheetml/2006/main" count="598" uniqueCount="295">
  <si>
    <t>window</t>
  </si>
  <si>
    <t>walls</t>
  </si>
  <si>
    <t>W</t>
  </si>
  <si>
    <t>H</t>
  </si>
  <si>
    <t>btr</t>
  </si>
  <si>
    <t>January</t>
  </si>
  <si>
    <t>Genova</t>
  </si>
  <si>
    <t>D</t>
  </si>
  <si>
    <t>climate zone</t>
  </si>
  <si>
    <t>degree day</t>
  </si>
  <si>
    <t>Month</t>
  </si>
  <si>
    <t>External Wall</t>
  </si>
  <si>
    <t>Rse</t>
  </si>
  <si>
    <t xml:space="preserve">External plaster </t>
  </si>
  <si>
    <t xml:space="preserve">Insulating </t>
  </si>
  <si>
    <t>Internal plaster</t>
  </si>
  <si>
    <t>Rsi</t>
  </si>
  <si>
    <t>Rtot</t>
  </si>
  <si>
    <t xml:space="preserve">Conductivity </t>
  </si>
  <si>
    <t>λtot</t>
  </si>
  <si>
    <t>Surface</t>
  </si>
  <si>
    <r>
      <t>H</t>
    </r>
    <r>
      <rPr>
        <vertAlign val="subscript"/>
        <sz val="11"/>
        <color theme="1"/>
        <rFont val="Calibri"/>
        <family val="2"/>
      </rPr>
      <t>tr</t>
    </r>
  </si>
  <si>
    <t>Equivalent resistance</t>
  </si>
  <si>
    <t>Equivalent conductivity Ceq</t>
  </si>
  <si>
    <t>Leq</t>
  </si>
  <si>
    <t xml:space="preserve"> Equivalent transmittance λeq</t>
  </si>
  <si>
    <t>Beam</t>
  </si>
  <si>
    <t>Pillar</t>
  </si>
  <si>
    <t xml:space="preserve"> Equivalent λeq</t>
  </si>
  <si>
    <t>Adimensional transmittance U*</t>
  </si>
  <si>
    <r>
      <t>b</t>
    </r>
    <r>
      <rPr>
        <vertAlign val="subscript"/>
        <sz val="11"/>
        <color theme="1"/>
        <rFont val="Calibri"/>
        <family val="2"/>
        <scheme val="minor"/>
      </rPr>
      <t>tr</t>
    </r>
  </si>
  <si>
    <t xml:space="preserve">External mortar </t>
  </si>
  <si>
    <t>Insulating 15</t>
  </si>
  <si>
    <t>Mortar</t>
  </si>
  <si>
    <t>Perforated brick</t>
  </si>
  <si>
    <t>Internal Wall</t>
  </si>
  <si>
    <t>Internal mortar</t>
  </si>
  <si>
    <t>Floor</t>
  </si>
  <si>
    <t>External plaster</t>
  </si>
  <si>
    <t>Foundation</t>
  </si>
  <si>
    <t>Screed</t>
  </si>
  <si>
    <t>Internal floor (gres)</t>
  </si>
  <si>
    <t>Ceiling</t>
  </si>
  <si>
    <t>External floor (gres)</t>
  </si>
  <si>
    <t>F</t>
  </si>
  <si>
    <t>Ag</t>
  </si>
  <si>
    <t>Af</t>
  </si>
  <si>
    <t>Ug</t>
  </si>
  <si>
    <t>Uf</t>
  </si>
  <si>
    <t>Ig</t>
  </si>
  <si>
    <t>Ψg</t>
  </si>
  <si>
    <t>Uw</t>
  </si>
  <si>
    <r>
      <t>H</t>
    </r>
    <r>
      <rPr>
        <vertAlign val="subscript"/>
        <sz val="11"/>
        <color theme="1"/>
        <rFont val="Calibri"/>
        <family val="2"/>
      </rPr>
      <t>d,w</t>
    </r>
  </si>
  <si>
    <t>Window</t>
  </si>
  <si>
    <t xml:space="preserve">F </t>
  </si>
  <si>
    <t>ground</t>
  </si>
  <si>
    <t>attic</t>
  </si>
  <si>
    <t>West</t>
  </si>
  <si>
    <t>South</t>
  </si>
  <si>
    <t>East</t>
  </si>
  <si>
    <t>Floor and ceiling</t>
  </si>
  <si>
    <t>Roof</t>
  </si>
  <si>
    <t>Tiles</t>
  </si>
  <si>
    <t>Air gap</t>
  </si>
  <si>
    <t>ISOVER SYNTO LIGHT lining</t>
  </si>
  <si>
    <t>ISOVER E60 S panel</t>
  </si>
  <si>
    <t>BITUVER ALUVAPOR TENDER membrane</t>
  </si>
  <si>
    <t>Fir wood - perpendicular flux</t>
  </si>
  <si>
    <t>Fr</t>
  </si>
  <si>
    <t>Walls</t>
  </si>
  <si>
    <t>Windows</t>
  </si>
  <si>
    <t>number</t>
  </si>
  <si>
    <t>Door</t>
  </si>
  <si>
    <t>door</t>
  </si>
  <si>
    <t>zone</t>
  </si>
  <si>
    <t>unconditioned room</t>
  </si>
  <si>
    <t>Unconditioned room</t>
  </si>
  <si>
    <t>Attic</t>
  </si>
  <si>
    <t>Place</t>
  </si>
  <si>
    <t>t [Ms]</t>
  </si>
  <si>
    <t>Qr [MJ]</t>
  </si>
  <si>
    <t>windows</t>
  </si>
  <si>
    <t xml:space="preserve">Volume </t>
  </si>
  <si>
    <t>t</t>
  </si>
  <si>
    <t>n</t>
  </si>
  <si>
    <t>Natural ventilation</t>
  </si>
  <si>
    <t>Mechanical ventilation</t>
  </si>
  <si>
    <t>n50</t>
  </si>
  <si>
    <t>ε</t>
  </si>
  <si>
    <t>βk</t>
  </si>
  <si>
    <t>f</t>
  </si>
  <si>
    <t>(*) = qve,f and qve,ext=0 if mechanical supply ventilation system; (*) = 0 and qve,ext=qve,f if mechanical extract ventilation system</t>
  </si>
  <si>
    <t>H [m]</t>
  </si>
  <si>
    <t>τ</t>
  </si>
  <si>
    <t>Unconditioned room door</t>
  </si>
  <si>
    <t>room</t>
  </si>
  <si>
    <t>Wall Orientation</t>
  </si>
  <si>
    <t>S</t>
  </si>
  <si>
    <t>E</t>
  </si>
  <si>
    <t>West/East</t>
  </si>
  <si>
    <t>North</t>
  </si>
  <si>
    <t>g_gl</t>
  </si>
  <si>
    <t>g_gl+sh</t>
  </si>
  <si>
    <t>tot</t>
  </si>
  <si>
    <t>uncondictioned</t>
  </si>
  <si>
    <t>Jan</t>
  </si>
  <si>
    <t>Room</t>
  </si>
  <si>
    <t>Unconditioned Room</t>
  </si>
  <si>
    <t>Concrete</t>
  </si>
  <si>
    <t>Lpin</t>
  </si>
  <si>
    <t>Upar</t>
  </si>
  <si>
    <t>corner</t>
  </si>
  <si>
    <t>internal wall</t>
  </si>
  <si>
    <t>floor</t>
  </si>
  <si>
    <t>ceiling</t>
  </si>
  <si>
    <t>Thermal bridges</t>
  </si>
  <si>
    <t>doors</t>
  </si>
  <si>
    <t>floor unconditioned</t>
  </si>
  <si>
    <t>ceiling unconditioned</t>
  </si>
  <si>
    <t>S uncond</t>
  </si>
  <si>
    <t>E uncond</t>
  </si>
  <si>
    <t>g gl,n</t>
  </si>
  <si>
    <t>g_gl+sh/g_gl</t>
  </si>
  <si>
    <t>thermal bridges</t>
  </si>
  <si>
    <t>Mechanical ventilation? (y/n)</t>
  </si>
  <si>
    <r>
      <rPr>
        <sz val="11"/>
        <color theme="1"/>
        <rFont val="Calibri"/>
        <family val="2"/>
      </rPr>
      <t>β</t>
    </r>
    <r>
      <rPr>
        <vertAlign val="subscript"/>
        <sz val="11"/>
        <color theme="1"/>
        <rFont val="Calibri"/>
        <family val="2"/>
      </rPr>
      <t>k</t>
    </r>
  </si>
  <si>
    <r>
      <rPr>
        <b/>
        <sz val="11"/>
        <color theme="1"/>
        <rFont val="Calibri"/>
        <family val="2"/>
      </rPr>
      <t>η</t>
    </r>
    <r>
      <rPr>
        <b/>
        <sz val="11"/>
        <color theme="1"/>
        <rFont val="Calibri"/>
        <family val="2"/>
        <scheme val="minor"/>
      </rPr>
      <t>_h,gn calculation</t>
    </r>
  </si>
  <si>
    <t>OUTPUT</t>
  </si>
  <si>
    <t>Q int</t>
  </si>
  <si>
    <t>[MJ]</t>
  </si>
  <si>
    <r>
      <t>A ext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</si>
  <si>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Length [m]</t>
  </si>
  <si>
    <r>
      <t>Awind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</si>
  <si>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ε roof</t>
  </si>
  <si>
    <t xml:space="preserve">Q h,nd </t>
  </si>
  <si>
    <t>Q h,tr [MJ]</t>
  </si>
  <si>
    <t>Q h,ve [MJ]</t>
  </si>
  <si>
    <t>Q sol,w [MJ]</t>
  </si>
  <si>
    <t>Q int [MJ]</t>
  </si>
  <si>
    <r>
      <rPr>
        <sz val="11"/>
        <color theme="1"/>
        <rFont val="Calibri"/>
        <family val="2"/>
      </rPr>
      <t>η</t>
    </r>
    <r>
      <rPr>
        <sz val="11"/>
        <color theme="1"/>
        <rFont val="Calibri"/>
        <family val="2"/>
        <scheme val="minor"/>
      </rPr>
      <t xml:space="preserve"> h,gn [MJ]</t>
    </r>
  </si>
  <si>
    <t>W wind [m]</t>
  </si>
  <si>
    <t>H wind [m]</t>
  </si>
  <si>
    <t>T int,winter [°C]</t>
  </si>
  <si>
    <t>T ext,winter,des [°C]</t>
  </si>
  <si>
    <t>T sky [°C]</t>
  </si>
  <si>
    <t>T ext [°C]</t>
  </si>
  <si>
    <t>p v,e [Pa]</t>
  </si>
  <si>
    <r>
      <t>q ve,des 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/h]</t>
    </r>
  </si>
  <si>
    <r>
      <t>hr wall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K]</t>
    </r>
  </si>
  <si>
    <r>
      <t>hr roof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K]</t>
    </r>
  </si>
  <si>
    <t>Thickness [m]</t>
  </si>
  <si>
    <t>Conductivity [W/m K]</t>
  </si>
  <si>
    <r>
      <t xml:space="preserve">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K/W]</t>
    </r>
  </si>
  <si>
    <r>
      <t xml:space="preserve">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K]</t>
    </r>
  </si>
  <si>
    <t xml:space="preserve"> [W/K]</t>
  </si>
  <si>
    <r>
      <t xml:space="preserve">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</si>
  <si>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 xml:space="preserve"> [W/m K]</t>
  </si>
  <si>
    <t>[m]</t>
  </si>
  <si>
    <t xml:space="preserve"> [m]</t>
  </si>
  <si>
    <r>
      <t>A</t>
    </r>
    <r>
      <rPr>
        <vertAlign val="subscript"/>
        <sz val="11"/>
        <color theme="1"/>
        <rFont val="Calibri"/>
        <family val="2"/>
        <scheme val="minor"/>
      </rPr>
      <t>iu</t>
    </r>
    <r>
      <rPr>
        <sz val="11"/>
        <color theme="1"/>
        <rFont val="Calibri"/>
        <family val="2"/>
        <scheme val="minor"/>
      </rPr>
      <t xml:space="preserve"> surface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</si>
  <si>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A</t>
    </r>
    <r>
      <rPr>
        <vertAlign val="subscript"/>
        <sz val="11"/>
        <color theme="1"/>
        <rFont val="Calibri"/>
        <family val="2"/>
        <scheme val="minor"/>
      </rPr>
      <t>ue</t>
    </r>
    <r>
      <rPr>
        <sz val="11"/>
        <color theme="1"/>
        <rFont val="Calibri"/>
        <family val="2"/>
        <scheme val="minor"/>
      </rPr>
      <t xml:space="preserve"> surface 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</si>
  <si>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H</t>
    </r>
    <r>
      <rPr>
        <vertAlign val="subscript"/>
        <sz val="11"/>
        <color theme="1"/>
        <rFont val="Calibri"/>
        <family val="2"/>
        <scheme val="minor"/>
      </rPr>
      <t>iu</t>
    </r>
    <r>
      <rPr>
        <sz val="11"/>
        <color theme="1"/>
        <rFont val="Calibri"/>
        <family val="2"/>
        <scheme val="minor"/>
      </rPr>
      <t xml:space="preserve"> is the heat exchange [W/K]</t>
    </r>
  </si>
  <si>
    <r>
      <t>H</t>
    </r>
    <r>
      <rPr>
        <vertAlign val="subscript"/>
        <sz val="11"/>
        <color theme="1"/>
        <rFont val="Calibri"/>
        <family val="2"/>
        <scheme val="minor"/>
      </rPr>
      <t>ue</t>
    </r>
    <r>
      <rPr>
        <sz val="11"/>
        <color theme="1"/>
        <rFont val="Calibri"/>
        <family val="2"/>
        <scheme val="minor"/>
      </rPr>
      <t xml:space="preserve"> is the heat exchange [W/K]</t>
    </r>
  </si>
  <si>
    <t>Linear transmittance (external) [W/m K]</t>
  </si>
  <si>
    <t>Linear transmittance (internal) [W/m K]</t>
  </si>
  <si>
    <r>
      <rPr>
        <sz val="11"/>
        <color theme="1"/>
        <rFont val="Calibri"/>
        <family val="2"/>
      </rPr>
      <t>ψ</t>
    </r>
    <r>
      <rPr>
        <sz val="11"/>
        <color theme="1"/>
        <rFont val="Calibri"/>
        <family val="2"/>
        <scheme val="minor"/>
      </rPr>
      <t xml:space="preserve"> 1 [W/m K]</t>
    </r>
  </si>
  <si>
    <t>ψ 2 [W/m K]</t>
  </si>
  <si>
    <r>
      <t>Utel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K]</t>
    </r>
  </si>
  <si>
    <r>
      <t>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K/W]</t>
    </r>
  </si>
  <si>
    <r>
      <t>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K]</t>
    </r>
  </si>
  <si>
    <r>
      <t>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</si>
  <si>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[W/m K]</t>
  </si>
  <si>
    <r>
      <t>A ext,net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</si>
  <si>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Awind,tot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</si>
  <si>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Aroof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</si>
  <si>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hr windows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K]</t>
    </r>
  </si>
  <si>
    <r>
      <t>U wind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K]</t>
    </r>
  </si>
  <si>
    <r>
      <t>U wall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K]</t>
    </r>
  </si>
  <si>
    <r>
      <t>U door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K]</t>
    </r>
  </si>
  <si>
    <r>
      <t>U roof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K]</t>
    </r>
  </si>
  <si>
    <r>
      <t>hr door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K]</t>
    </r>
  </si>
  <si>
    <r>
      <t>Rse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K/W]</t>
    </r>
  </si>
  <si>
    <t>Linear transmittance (internal)  [W/m K]</t>
  </si>
  <si>
    <t>[W/K]</t>
  </si>
  <si>
    <t>Hd [W/K]</t>
  </si>
  <si>
    <t>Hg [W/K]</t>
  </si>
  <si>
    <t>Hu [W/K]</t>
  </si>
  <si>
    <t>Htr,adj [W/K]</t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</si>
  <si>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</si>
  <si>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r>
      <t>[kg/m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]</t>
    </r>
  </si>
  <si>
    <t>[J/kg K]</t>
  </si>
  <si>
    <t>[air changes/h]</t>
  </si>
  <si>
    <r>
      <t>[m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/s]</t>
    </r>
  </si>
  <si>
    <t>[°C]</t>
  </si>
  <si>
    <t>[h]</t>
  </si>
  <si>
    <r>
      <t>[h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]</t>
    </r>
  </si>
  <si>
    <r>
      <t>[m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/s]</t>
    </r>
  </si>
  <si>
    <r>
      <t>Wall Surface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</si>
  <si>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Windows Surface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</si>
  <si>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t>Wall - Windows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</si>
  <si>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time [Ms]</t>
  </si>
  <si>
    <r>
      <rPr>
        <sz val="11"/>
        <color theme="1"/>
        <rFont val="Calibri"/>
        <family val="2"/>
      </rPr>
      <t>ε</t>
    </r>
    <r>
      <rPr>
        <sz val="11"/>
        <color theme="1"/>
        <rFont val="Calibri"/>
        <family val="2"/>
        <scheme val="minor"/>
      </rPr>
      <t xml:space="preserve"> wall</t>
    </r>
  </si>
  <si>
    <r>
      <rPr>
        <sz val="11"/>
        <color theme="1"/>
        <rFont val="Calibri"/>
        <family val="2"/>
      </rPr>
      <t>ε</t>
    </r>
    <r>
      <rPr>
        <sz val="11"/>
        <color theme="1"/>
        <rFont val="Calibri"/>
        <family val="2"/>
        <scheme val="minor"/>
      </rPr>
      <t xml:space="preserve"> windows</t>
    </r>
  </si>
  <si>
    <r>
      <t>A sol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</si>
  <si>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 xml:space="preserve"> [W]</t>
    </r>
  </si>
  <si>
    <t>Q sol [MJ]</t>
  </si>
  <si>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 xml:space="preserve"> sol,w [W]</t>
    </r>
  </si>
  <si>
    <r>
      <t>Af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</si>
  <si>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r>
      <rPr>
        <sz val="11"/>
        <color theme="1"/>
        <rFont val="Calibri"/>
        <family val="2"/>
      </rPr>
      <t>Φ</t>
    </r>
    <r>
      <rPr>
        <sz val="11"/>
        <color theme="1"/>
        <rFont val="Calibri"/>
        <family val="2"/>
        <scheme val="minor"/>
      </rPr>
      <t xml:space="preserve"> int [W]</t>
    </r>
  </si>
  <si>
    <r>
      <t>[kJ/m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K]</t>
    </r>
  </si>
  <si>
    <t>Q gn,winter</t>
  </si>
  <si>
    <t>Q H,ht</t>
  </si>
  <si>
    <t>γ h</t>
  </si>
  <si>
    <t>H u</t>
  </si>
  <si>
    <t>η h,gn</t>
  </si>
  <si>
    <t>a h0</t>
  </si>
  <si>
    <t>t h0</t>
  </si>
  <si>
    <t>H d</t>
  </si>
  <si>
    <t>H d,w</t>
  </si>
  <si>
    <t>H ve,adj</t>
  </si>
  <si>
    <t>H m</t>
  </si>
  <si>
    <t>C m</t>
  </si>
  <si>
    <t>A d</t>
  </si>
  <si>
    <t>a h</t>
  </si>
  <si>
    <t>f sh,with</t>
  </si>
  <si>
    <t>F sh,gl</t>
  </si>
  <si>
    <r>
      <t>A sol,w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</si>
  <si>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>1-F f</t>
  </si>
  <si>
    <t>ρ a</t>
  </si>
  <si>
    <t>C a</t>
  </si>
  <si>
    <t>q ve,0</t>
  </si>
  <si>
    <t>θ int,set,H</t>
  </si>
  <si>
    <t>θ e</t>
  </si>
  <si>
    <t>f ve,t</t>
  </si>
  <si>
    <t>q ve,mn</t>
  </si>
  <si>
    <t>b ve</t>
  </si>
  <si>
    <t>Q ve,adj</t>
  </si>
  <si>
    <t>q' ve,x</t>
  </si>
  <si>
    <t>q ve,f</t>
  </si>
  <si>
    <t>FC ve</t>
  </si>
  <si>
    <t>q ve,sup (*)</t>
  </si>
  <si>
    <t>q ve,x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</si>
  <si>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 xml:space="preserve"> Tsky [°C]</t>
    </r>
  </si>
  <si>
    <t>Δ Tsky [°C]</t>
  </si>
  <si>
    <t>ΔT sky [°C]</t>
  </si>
  <si>
    <t>ΔTsky [°C]</t>
  </si>
  <si>
    <t>Htr,adj*ΔT*t [MJ]</t>
  </si>
  <si>
    <r>
      <rPr>
        <sz val="11"/>
        <color theme="1"/>
        <rFont val="Calibri"/>
        <family val="2"/>
      </rPr>
      <t>λ</t>
    </r>
    <r>
      <rPr>
        <sz val="11"/>
        <color theme="1"/>
        <rFont val="Calibri"/>
        <family val="2"/>
        <scheme val="minor"/>
      </rPr>
      <t xml:space="preserve"> eq [W/m K]</t>
    </r>
  </si>
  <si>
    <t>λ  eq</t>
  </si>
  <si>
    <t xml:space="preserve">ε wall </t>
  </si>
  <si>
    <t>Φ r,mn [W]</t>
  </si>
  <si>
    <t>Φ r,mn*Fr [W]</t>
  </si>
  <si>
    <t>Φ r,mn*Fr*(1-btr) [W]</t>
  </si>
  <si>
    <r>
      <t xml:space="preserve">Q h,nd = (Q h,tr + Q h,ve) - </t>
    </r>
    <r>
      <rPr>
        <sz val="11"/>
        <color theme="1"/>
        <rFont val="Calibri"/>
        <family val="2"/>
      </rPr>
      <t>η</t>
    </r>
    <r>
      <rPr>
        <sz val="11"/>
        <color theme="1"/>
        <rFont val="Calibri"/>
        <family val="2"/>
        <scheme val="minor"/>
      </rPr>
      <t xml:space="preserve"> h,gn * (Q sol + Q int)</t>
    </r>
  </si>
  <si>
    <t>Windows and doors</t>
  </si>
  <si>
    <r>
      <t>A ext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</si>
  <si>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t>A ext,net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] </t>
    </r>
  </si>
  <si>
    <r>
      <t>V [m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</si>
  <si>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r>
      <t>A wind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</si>
  <si>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r>
      <rPr>
        <b/>
        <sz val="11"/>
        <color theme="1"/>
        <rFont val="Calibri"/>
        <family val="2"/>
      </rPr>
      <t xml:space="preserve">ε </t>
    </r>
    <r>
      <rPr>
        <b/>
        <sz val="11"/>
        <color theme="1"/>
        <rFont val="Calibri"/>
        <family val="2"/>
        <scheme val="minor"/>
      </rPr>
      <t>window</t>
    </r>
  </si>
  <si>
    <t>Climate data</t>
  </si>
  <si>
    <t>Ground</t>
  </si>
  <si>
    <t>Thermal Bridges</t>
  </si>
  <si>
    <r>
      <t>hr wall [W/m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K]</t>
    </r>
  </si>
  <si>
    <r>
      <t>hr roof [W/m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K]</t>
    </r>
  </si>
  <si>
    <r>
      <t>Density [kg/m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]</t>
    </r>
  </si>
  <si>
    <r>
      <t>R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K/W]</t>
    </r>
  </si>
  <si>
    <r>
      <t>b</t>
    </r>
    <r>
      <rPr>
        <b/>
        <vertAlign val="subscript"/>
        <sz val="11"/>
        <color theme="1"/>
        <rFont val="Calibri"/>
        <family val="2"/>
        <scheme val="minor"/>
      </rPr>
      <t xml:space="preserve">tr </t>
    </r>
    <r>
      <rPr>
        <b/>
        <sz val="11"/>
        <color theme="1"/>
        <rFont val="Calibri"/>
        <family val="2"/>
        <scheme val="minor"/>
      </rPr>
      <t>room - unconditioned room</t>
    </r>
  </si>
  <si>
    <t>Equivalent transmittance λeq</t>
  </si>
  <si>
    <t>Pillar in external corner</t>
  </si>
  <si>
    <t>Floor/ceiling</t>
  </si>
  <si>
    <t>Internal wall on external wall</t>
  </si>
  <si>
    <t>Centre line window in insulated wall</t>
  </si>
  <si>
    <r>
      <t>hr window [W/m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K]</t>
    </r>
  </si>
  <si>
    <r>
      <t>Rse [m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K/W]</t>
    </r>
  </si>
  <si>
    <t>Transfer thermal losses</t>
  </si>
  <si>
    <t>Q htr</t>
  </si>
  <si>
    <t>Q htr [MJ]</t>
  </si>
  <si>
    <t>windows and door</t>
  </si>
  <si>
    <t>thermal bridges tot [W/K]</t>
  </si>
  <si>
    <t>H bridges [W/K]</t>
  </si>
  <si>
    <t>H [W/K]</t>
  </si>
  <si>
    <t>I sol [MJ/m2]</t>
  </si>
  <si>
    <r>
      <t>f shut [MJ/m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</si>
  <si>
    <t>Wall</t>
  </si>
  <si>
    <r>
      <rPr>
        <b/>
        <sz val="11"/>
        <color theme="1"/>
        <rFont val="Calibri"/>
        <family val="2"/>
      </rPr>
      <t>Φ</t>
    </r>
    <r>
      <rPr>
        <b/>
        <sz val="11"/>
        <color theme="1"/>
        <rFont val="Calibri"/>
        <family val="2"/>
        <scheme val="minor"/>
      </rPr>
      <t xml:space="preserve"> int</t>
    </r>
  </si>
  <si>
    <t>External insulating</t>
  </si>
  <si>
    <t>External wall insulation? (y/n)</t>
  </si>
  <si>
    <t>New windows? (y/n)</t>
  </si>
  <si>
    <r>
      <t>Ug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K]</t>
    </r>
  </si>
  <si>
    <r>
      <t>Uf [W/m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K]</t>
    </r>
  </si>
  <si>
    <t>Improvements</t>
  </si>
  <si>
    <t>Epi,env</t>
  </si>
  <si>
    <r>
      <t>[kWh/m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year]</t>
    </r>
  </si>
  <si>
    <r>
      <t>A [m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</si>
</sst>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"/>
    <numFmt numFmtId="166" formatCode="0.0000"/>
  </numFmts>
  <fonts count="9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EFECE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right"/>
    </xf>
    <xf numFmtId="2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164" fontId="0" fillId="0" borderId="0" xfId="0" applyNumberFormat="1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right"/>
    </xf>
    <xf numFmtId="2" fontId="0" fillId="0" borderId="0" xfId="0" applyNumberFormat="1" applyBorder="1"/>
    <xf numFmtId="0" fontId="5" fillId="0" borderId="0" xfId="0" applyFont="1"/>
    <xf numFmtId="0" fontId="0" fillId="3" borderId="1" xfId="0" applyFill="1" applyBorder="1"/>
    <xf numFmtId="0" fontId="5" fillId="3" borderId="1" xfId="0" applyFont="1" applyFill="1" applyBorder="1"/>
    <xf numFmtId="166" fontId="0" fillId="3" borderId="1" xfId="0" applyNumberFormat="1" applyFill="1" applyBorder="1"/>
    <xf numFmtId="164" fontId="0" fillId="3" borderId="1" xfId="0" applyNumberFormat="1" applyFill="1" applyBorder="1"/>
    <xf numFmtId="0" fontId="0" fillId="3" borderId="2" xfId="0" applyFill="1" applyBorder="1"/>
    <xf numFmtId="0" fontId="0" fillId="3" borderId="1" xfId="0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65" fontId="0" fillId="3" borderId="1" xfId="0" applyNumberFormat="1" applyFill="1" applyBorder="1"/>
    <xf numFmtId="2" fontId="0" fillId="3" borderId="1" xfId="0" applyNumberForma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3" borderId="1" xfId="0" applyFont="1" applyFill="1" applyBorder="1"/>
    <xf numFmtId="0" fontId="0" fillId="3" borderId="1" xfId="0" applyFill="1" applyBorder="1" applyAlignment="1"/>
    <xf numFmtId="0" fontId="2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3" xfId="0" applyFill="1" applyBorder="1" applyAlignment="1"/>
    <xf numFmtId="0" fontId="0" fillId="3" borderId="5" xfId="0" applyFill="1" applyBorder="1" applyAlignment="1"/>
    <xf numFmtId="0" fontId="5" fillId="0" borderId="0" xfId="0" applyFont="1" applyBorder="1" applyAlignment="1"/>
    <xf numFmtId="0" fontId="5" fillId="0" borderId="6" xfId="0" applyFont="1" applyBorder="1" applyAlignment="1"/>
    <xf numFmtId="0" fontId="0" fillId="0" borderId="6" xfId="0" applyBorder="1"/>
    <xf numFmtId="0" fontId="0" fillId="3" borderId="3" xfId="0" applyFill="1" applyBorder="1"/>
    <xf numFmtId="164" fontId="0" fillId="3" borderId="3" xfId="0" applyNumberFormat="1" applyFill="1" applyBorder="1"/>
    <xf numFmtId="0" fontId="2" fillId="3" borderId="1" xfId="0" applyFont="1" applyFill="1" applyBorder="1"/>
    <xf numFmtId="10" fontId="0" fillId="3" borderId="1" xfId="0" applyNumberFormat="1" applyFill="1" applyBorder="1"/>
    <xf numFmtId="0" fontId="5" fillId="0" borderId="0" xfId="0" applyFont="1" applyFill="1" applyBorder="1" applyAlignment="1"/>
    <xf numFmtId="0" fontId="0" fillId="3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3" borderId="1" xfId="0" applyFill="1" applyBorder="1" applyAlignment="1">
      <alignment horizontal="right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colors>
    <mruColors>
      <color rgb="FFF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Thermal losses and gains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Input!$B$58:$B$61</c:f>
              <c:strCache>
                <c:ptCount val="4"/>
                <c:pt idx="0">
                  <c:v>Q h,tr [MJ]</c:v>
                </c:pt>
                <c:pt idx="1">
                  <c:v>Q h,ve [MJ]</c:v>
                </c:pt>
                <c:pt idx="2">
                  <c:v>Q sol,w [MJ]</c:v>
                </c:pt>
                <c:pt idx="3">
                  <c:v>Q int [MJ]</c:v>
                </c:pt>
              </c:strCache>
            </c:strRef>
          </c:cat>
          <c:val>
            <c:numRef>
              <c:f>Input!$C$58:$C$61</c:f>
              <c:numCache>
                <c:formatCode>General</c:formatCode>
                <c:ptCount val="4"/>
                <c:pt idx="0">
                  <c:v>5565.5697760995972</c:v>
                </c:pt>
                <c:pt idx="1">
                  <c:v>562.46399999999983</c:v>
                </c:pt>
                <c:pt idx="2">
                  <c:v>-1824.7040258198342</c:v>
                </c:pt>
                <c:pt idx="3">
                  <c:v>-859.47421123482422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053512"/>
        <c:axId val="198053904"/>
      </c:barChart>
      <c:catAx>
        <c:axId val="198053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98053904"/>
        <c:crosses val="autoZero"/>
        <c:auto val="1"/>
        <c:lblAlgn val="ctr"/>
        <c:lblOffset val="100"/>
        <c:noMultiLvlLbl val="0"/>
      </c:catAx>
      <c:valAx>
        <c:axId val="198053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053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Transfer thermal</a:t>
            </a:r>
            <a:r>
              <a:rPr lang="it-IT" baseline="0"/>
              <a:t> losses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Transfer!$B$33:$B$37</c:f>
              <c:strCache>
                <c:ptCount val="5"/>
                <c:pt idx="0">
                  <c:v>Walls</c:v>
                </c:pt>
                <c:pt idx="1">
                  <c:v>Windows</c:v>
                </c:pt>
                <c:pt idx="2">
                  <c:v>Attic</c:v>
                </c:pt>
                <c:pt idx="3">
                  <c:v>Thermal Bridges</c:v>
                </c:pt>
                <c:pt idx="4">
                  <c:v>Ground</c:v>
                </c:pt>
              </c:strCache>
            </c:strRef>
          </c:cat>
          <c:val>
            <c:numRef>
              <c:f>Transfer!$E$33:$E$37</c:f>
              <c:numCache>
                <c:formatCode>0.00%</c:formatCode>
                <c:ptCount val="5"/>
                <c:pt idx="0">
                  <c:v>0.1711745537318359</c:v>
                </c:pt>
                <c:pt idx="1">
                  <c:v>0.22653798457638605</c:v>
                </c:pt>
                <c:pt idx="2">
                  <c:v>0.22620506969033935</c:v>
                </c:pt>
                <c:pt idx="3">
                  <c:v>0.23066484720050612</c:v>
                </c:pt>
                <c:pt idx="4">
                  <c:v>0.14541754480093244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thermal bridges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Transfer!$B$42:$B$45</c:f>
              <c:strCache>
                <c:ptCount val="4"/>
                <c:pt idx="0">
                  <c:v>walls</c:v>
                </c:pt>
                <c:pt idx="1">
                  <c:v>windows and door</c:v>
                </c:pt>
                <c:pt idx="2">
                  <c:v>floor</c:v>
                </c:pt>
                <c:pt idx="3">
                  <c:v>ceiling</c:v>
                </c:pt>
              </c:strCache>
            </c:strRef>
          </c:cat>
          <c:val>
            <c:numRef>
              <c:f>Transfer!$D$42:$D$45</c:f>
              <c:numCache>
                <c:formatCode>0.00%</c:formatCode>
                <c:ptCount val="4"/>
                <c:pt idx="0">
                  <c:v>3.7748265992240709E-2</c:v>
                </c:pt>
                <c:pt idx="1">
                  <c:v>1.5890728026208872E-2</c:v>
                </c:pt>
                <c:pt idx="2">
                  <c:v>0.47318050299077519</c:v>
                </c:pt>
                <c:pt idx="3">
                  <c:v>0.47318050299077519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/>
              <a:t>Q sol</a:t>
            </a:r>
          </a:p>
        </c:rich>
      </c:tx>
      <c:overlay val="0"/>
    </c:title>
    <c:autoTitleDeleted val="0"/>
    <c:plotArea>
      <c:layout/>
      <c:ofPieChart>
        <c:ofPieType val="pie"/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Q sol wall</c:v>
              </c:pt>
              <c:pt idx="1">
                <c:v>Q sol window South</c:v>
              </c:pt>
              <c:pt idx="2">
                <c:v>Q sol window West</c:v>
              </c:pt>
            </c:strLit>
          </c:cat>
          <c:val>
            <c:numRef>
              <c:f>('Q sol'!$G$23,'Q sol'!$C$31:$D$31)</c:f>
              <c:numCache>
                <c:formatCode>General</c:formatCode>
                <c:ptCount val="3"/>
                <c:pt idx="0">
                  <c:v>27.736083771834355</c:v>
                </c:pt>
                <c:pt idx="1">
                  <c:v>1271.856694176</c:v>
                </c:pt>
                <c:pt idx="2">
                  <c:v>525.11124787199992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2"/>
        <c:secondPieSize val="75"/>
        <c:serLines/>
      </c:ofPieChart>
    </c:plotArea>
    <c:legend>
      <c:legendPos val="t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847725</xdr:colOff>
      <xdr:row>32</xdr:row>
      <xdr:rowOff>123825</xdr:rowOff>
    </xdr:from>
    <xdr:to>
      <xdr:col>14</xdr:col>
      <xdr:colOff>123825</xdr:colOff>
      <xdr:row>47</xdr:row>
      <xdr:rowOff>9525</xdr:rowOff>
    </xdr:to>
    <xdr:graphicFrame macro="">
      <xdr:nvGraphicFramePr>
        <xdr:cNvPr id="6" name="Gra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885825</xdr:colOff>
      <xdr:row>47</xdr:row>
      <xdr:rowOff>114300</xdr:rowOff>
    </xdr:from>
    <xdr:to>
      <xdr:col>14</xdr:col>
      <xdr:colOff>161925</xdr:colOff>
      <xdr:row>62</xdr:row>
      <xdr:rowOff>0</xdr:rowOff>
    </xdr:to>
    <xdr:graphicFrame macro="">
      <xdr:nvGraphicFramePr>
        <xdr:cNvPr id="7" name="Gra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79</xdr:row>
      <xdr:rowOff>146791</xdr:rowOff>
    </xdr:from>
    <xdr:to>
      <xdr:col>5</xdr:col>
      <xdr:colOff>257175</xdr:colOff>
      <xdr:row>82</xdr:row>
      <xdr:rowOff>57016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10025" y="6728566"/>
          <a:ext cx="2619375" cy="481725"/>
        </a:xfrm>
        <a:prstGeom prst="rect">
          <a:avLst/>
        </a:prstGeom>
      </xdr:spPr>
    </xdr:pic>
    <xdr:clientData/>
  </xdr:twoCellAnchor>
  <xdr:twoCellAnchor editAs="oneCell">
    <xdr:from>
      <xdr:col>3</xdr:col>
      <xdr:colOff>561975</xdr:colOff>
      <xdr:row>82</xdr:row>
      <xdr:rowOff>128782</xdr:rowOff>
    </xdr:from>
    <xdr:to>
      <xdr:col>5</xdr:col>
      <xdr:colOff>284995</xdr:colOff>
      <xdr:row>84</xdr:row>
      <xdr:rowOff>190373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10025" y="7282057"/>
          <a:ext cx="2647195" cy="442591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87</xdr:row>
      <xdr:rowOff>176887</xdr:rowOff>
    </xdr:from>
    <xdr:to>
      <xdr:col>5</xdr:col>
      <xdr:colOff>200025</xdr:colOff>
      <xdr:row>93</xdr:row>
      <xdr:rowOff>9525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7493337"/>
          <a:ext cx="2619375" cy="9756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428625</xdr:colOff>
      <xdr:row>81</xdr:row>
      <xdr:rowOff>39045</xdr:rowOff>
    </xdr:from>
    <xdr:to>
      <xdr:col>12</xdr:col>
      <xdr:colOff>161925</xdr:colOff>
      <xdr:row>86</xdr:row>
      <xdr:rowOff>9525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5325" y="16212495"/>
          <a:ext cx="3333750" cy="92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0</xdr:row>
      <xdr:rowOff>171450</xdr:rowOff>
    </xdr:from>
    <xdr:to>
      <xdr:col>2</xdr:col>
      <xdr:colOff>210416</xdr:colOff>
      <xdr:row>4</xdr:row>
      <xdr:rowOff>95985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Rettangolo 1">
              <a:extLst>
                <a:ext uri="{FF2B5EF4-FFF2-40B4-BE49-F238E27FC236}">
                  <a16:creationId xmlns="" xmlns:a16="http://schemas.microsoft.com/office/drawing/2014/main" id="{00000000-0008-0000-0200-000002000000}"/>
                </a:ext>
              </a:extLst>
            </xdr:cNvPr>
            <xdr:cNvSpPr/>
          </xdr:nvSpPr>
          <xdr:spPr>
            <a:xfrm>
              <a:off x="533400" y="171450"/>
              <a:ext cx="2239241" cy="68653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it-IT" sz="1200"/>
            </a:p>
            <a:p>
              <a:pPr lvl="0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2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200" i="1"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it-IT" sz="1200" i="1">
                            <a:latin typeface="Cambria Math" panose="02040503050406030204" pitchFamily="18" charset="0"/>
                          </a:rPr>
                          <m:t>𝑊</m:t>
                        </m:r>
                      </m:sub>
                    </m:sSub>
                    <m:r>
                      <a:rPr lang="it-IT" sz="12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2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𝑔</m:t>
                            </m:r>
                          </m:sub>
                        </m:sSub>
                        <m:sSub>
                          <m:sSubPr>
                            <m:ctrlPr>
                              <a:rPr lang="it-IT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𝑈</m:t>
                            </m:r>
                          </m:e>
                          <m:sub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𝑔</m:t>
                            </m:r>
                          </m:sub>
                        </m:sSub>
                        <m:r>
                          <a:rPr lang="it-IT" sz="1200" i="1">
                            <a:latin typeface="Cambria Math" panose="02040503050406030204" pitchFamily="18" charset="0"/>
                          </a:rPr>
                          <m:t>+</m:t>
                        </m:r>
                        <m:sSub>
                          <m:sSubPr>
                            <m:ctrlPr>
                              <a:rPr lang="it-IT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  <m:sSub>
                          <m:sSubPr>
                            <m:ctrlPr>
                              <a:rPr lang="it-IT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𝑈</m:t>
                            </m:r>
                          </m:e>
                          <m:sub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  <m:r>
                          <a:rPr lang="it-IT" sz="120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it-IT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</m:e>
                          <m:sub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𝑔</m:t>
                            </m:r>
                          </m:sub>
                        </m:sSub>
                        <m:sSub>
                          <m:sSubPr>
                            <m:ctrlPr>
                              <a:rPr lang="it-IT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l-GR" sz="1200" i="1">
                                <a:latin typeface="Cambria Math" panose="02040503050406030204" pitchFamily="18" charset="0"/>
                              </a:rPr>
                              <m:t>𝜓</m:t>
                            </m:r>
                          </m:e>
                          <m:sub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𝑔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𝑓</m:t>
                            </m:r>
                          </m:sub>
                        </m:sSub>
                        <m:r>
                          <a:rPr lang="it-IT" sz="1200" i="1">
                            <a:latin typeface="Cambria Math" panose="02040503050406030204" pitchFamily="18" charset="0"/>
                          </a:rPr>
                          <m:t>+ </m:t>
                        </m:r>
                        <m:sSub>
                          <m:sSubPr>
                            <m:ctrlPr>
                              <a:rPr lang="it-IT" sz="120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it-IT" sz="1200" i="1">
                                <a:latin typeface="Cambria Math" panose="02040503050406030204" pitchFamily="18" charset="0"/>
                              </a:rPr>
                              <m:t>𝑔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en-GB" sz="1200"/>
            </a:p>
          </xdr:txBody>
        </xdr:sp>
      </mc:Choice>
      <mc:Fallback xmlns="">
        <xdr:sp macro="" textlink="">
          <xdr:nvSpPr>
            <xdr:cNvPr id="2" name="Rettangolo 1"/>
            <xdr:cNvSpPr/>
          </xdr:nvSpPr>
          <xdr:spPr>
            <a:xfrm>
              <a:off x="533400" y="171450"/>
              <a:ext cx="2239241" cy="686535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it-IT" sz="1200"/>
            </a:p>
            <a:p>
              <a:pPr lvl="0"/>
              <a:r>
                <a:rPr lang="it-IT" sz="1200" i="0">
                  <a:latin typeface="Cambria Math" panose="02040503050406030204" pitchFamily="18" charset="0"/>
                </a:rPr>
                <a:t>𝑈_𝑊=(𝐴_𝑔 𝑈_𝑔+𝐴_𝑓 𝑈_𝑓+ 𝐼_𝑔 </a:t>
              </a:r>
              <a:r>
                <a:rPr lang="el-GR" sz="1200" i="0">
                  <a:latin typeface="Cambria Math" panose="02040503050406030204" pitchFamily="18" charset="0"/>
                </a:rPr>
                <a:t>𝜓</a:t>
              </a:r>
              <a:r>
                <a:rPr lang="it-IT" sz="1200" i="0">
                  <a:latin typeface="Cambria Math" panose="02040503050406030204" pitchFamily="18" charset="0"/>
                </a:rPr>
                <a:t>_𝑔)/(𝐴_𝑓+ 𝐴_𝑔 )</a:t>
              </a:r>
              <a:endParaRPr lang="en-GB" sz="1200"/>
            </a:p>
          </xdr:txBody>
        </xdr:sp>
      </mc:Fallback>
    </mc:AlternateContent>
    <xdr:clientData/>
  </xdr:twoCellAnchor>
  <xdr:twoCellAnchor editAs="oneCell">
    <xdr:from>
      <xdr:col>4</xdr:col>
      <xdr:colOff>38100</xdr:colOff>
      <xdr:row>25</xdr:row>
      <xdr:rowOff>38100</xdr:rowOff>
    </xdr:from>
    <xdr:to>
      <xdr:col>7</xdr:col>
      <xdr:colOff>298456</xdr:colOff>
      <xdr:row>27</xdr:row>
      <xdr:rowOff>175827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5875" y="5067300"/>
          <a:ext cx="3375031" cy="547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9525</xdr:colOff>
      <xdr:row>29</xdr:row>
      <xdr:rowOff>37136</xdr:rowOff>
    </xdr:from>
    <xdr:to>
      <xdr:col>7</xdr:col>
      <xdr:colOff>330180</xdr:colOff>
      <xdr:row>34</xdr:row>
      <xdr:rowOff>142875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5856911"/>
          <a:ext cx="3435330" cy="1058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31</xdr:row>
      <xdr:rowOff>9525</xdr:rowOff>
    </xdr:from>
    <xdr:to>
      <xdr:col>9</xdr:col>
      <xdr:colOff>1200150</xdr:colOff>
      <xdr:row>45</xdr:row>
      <xdr:rowOff>85725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</xdr:row>
      <xdr:rowOff>133350</xdr:rowOff>
    </xdr:from>
    <xdr:to>
      <xdr:col>13</xdr:col>
      <xdr:colOff>134593</xdr:colOff>
      <xdr:row>4</xdr:row>
      <xdr:rowOff>120098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Rettangolo 1">
              <a:extLst>
                <a:ext uri="{FF2B5EF4-FFF2-40B4-BE49-F238E27FC236}">
                  <a16:creationId xmlns="" xmlns:a16="http://schemas.microsoft.com/office/drawing/2014/main" id="{00000000-0008-0000-0500-000002000000}"/>
                </a:ext>
              </a:extLst>
            </xdr:cNvPr>
            <xdr:cNvSpPr/>
          </xdr:nvSpPr>
          <xdr:spPr>
            <a:xfrm>
              <a:off x="2667000" y="323850"/>
              <a:ext cx="5392393" cy="615398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𝑣𝑒</m:t>
                        </m:r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𝑎𝑑𝑗</m:t>
                        </m:r>
                      </m:sub>
                    </m:sSub>
                    <m:r>
                      <a:rPr lang="it-IT" sz="1600" i="1">
                        <a:latin typeface="Cambria Math" panose="02040503050406030204" pitchFamily="18" charset="0"/>
                      </a:rPr>
                      <m:t>= </m:t>
                    </m:r>
                    <m:sSub>
                      <m:sSubPr>
                        <m:ctrlP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𝜌</m:t>
                        </m:r>
                      </m:e>
                      <m:sub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it-IT" sz="16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sSub>
                      <m:sSubPr>
                        <m:ctrlP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𝐶</m:t>
                        </m:r>
                      </m:e>
                      <m:sub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𝑎</m:t>
                        </m:r>
                      </m:sub>
                    </m:sSub>
                    <m:r>
                      <a:rPr lang="it-IT" sz="16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∙</m:t>
                    </m:r>
                    <m:nary>
                      <m:naryPr>
                        <m:chr m:val="∑"/>
                        <m:limLoc m:val="subSup"/>
                        <m:supHide m:val="on"/>
                        <m:ctrlP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9"/>
                          </m:rP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𝐾</m:t>
                        </m:r>
                      </m:sub>
                      <m:sup/>
                      <m:e>
                        <m:sSub>
                          <m:sSubPr>
                            <m:ctrlPr>
                              <a:rPr lang="it-IT" sz="16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6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𝑏</m:t>
                            </m:r>
                          </m:e>
                          <m:sub>
                            <m:r>
                              <a:rPr lang="it-IT" sz="16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𝑣𝑒</m:t>
                            </m:r>
                            <m:r>
                              <a:rPr lang="it-IT" sz="16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it-IT" sz="160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sub>
                        </m:sSub>
                      </m:e>
                    </m:nary>
                    <m:r>
                      <a:rPr lang="it-IT" sz="16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𝑞</m:t>
                        </m:r>
                      </m:e>
                      <m:sub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𝑣𝑒</m:t>
                        </m:r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𝑘</m:t>
                        </m:r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,</m:t>
                        </m:r>
                        <m:r>
                          <a:rPr lang="it-IT" sz="16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𝑚𝑛</m:t>
                        </m:r>
                      </m:sub>
                    </m:sSub>
                  </m:oMath>
                </m:oMathPara>
              </a14:m>
              <a:endParaRPr lang="it-IT" sz="120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2" name="Rettangolo 1">
              <a:extLst>
                <a:ext uri="{FF2B5EF4-FFF2-40B4-BE49-F238E27FC236}">
                  <a16:creationId xmlns:a16="http://schemas.microsoft.com/office/drawing/2014/main" xmlns="" xmlns:a14="http://schemas.microsoft.com/office/drawing/2010/main" id="{6A433A90-9771-4CB7-A746-07480EBE65B9}"/>
                </a:ext>
              </a:extLst>
            </xdr:cNvPr>
            <xdr:cNvSpPr/>
          </xdr:nvSpPr>
          <xdr:spPr>
            <a:xfrm>
              <a:off x="2667000" y="323850"/>
              <a:ext cx="5392393" cy="615398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600" i="0">
                  <a:latin typeface="Cambria Math" panose="02040503050406030204" pitchFamily="18" charset="0"/>
                </a:rPr>
                <a:t>𝐻_(𝑣𝑒,𝑎𝑑𝑗)= </a:t>
              </a:r>
              <a:r>
                <a:rPr lang="it-IT" sz="16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𝜌_𝑎∙𝐶_𝑎∙∑2_𝐾▒𝑏_(𝑣𝑒,𝑘)   〖∙𝑞〗_(𝑣𝑒,𝑘,𝑚𝑛)</a:t>
              </a:r>
              <a:endParaRPr lang="it-IT" sz="120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5</xdr:col>
      <xdr:colOff>257175</xdr:colOff>
      <xdr:row>4</xdr:row>
      <xdr:rowOff>161925</xdr:rowOff>
    </xdr:from>
    <xdr:to>
      <xdr:col>9</xdr:col>
      <xdr:colOff>141240</xdr:colOff>
      <xdr:row>7</xdr:row>
      <xdr:rowOff>130944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Rettangolo 2">
              <a:extLst>
                <a:ext uri="{FF2B5EF4-FFF2-40B4-BE49-F238E27FC236}">
                  <a16:creationId xmlns="" xmlns:a16="http://schemas.microsoft.com/office/drawing/2014/main" id="{00000000-0008-0000-0500-000003000000}"/>
                </a:ext>
              </a:extLst>
            </xdr:cNvPr>
            <xdr:cNvSpPr/>
          </xdr:nvSpPr>
          <xdr:spPr>
            <a:xfrm>
              <a:off x="3305175" y="981075"/>
              <a:ext cx="2322465" cy="56909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6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𝑞</m:t>
                        </m:r>
                      </m:e>
                      <m:sub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𝑣𝑒</m:t>
                        </m:r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,0</m:t>
                        </m:r>
                      </m:sub>
                    </m:sSub>
                    <m:r>
                      <a:rPr lang="it-IT" sz="1600" i="1">
                        <a:latin typeface="Cambria Math" panose="02040503050406030204" pitchFamily="18" charset="0"/>
                      </a:rPr>
                      <m:t>=(</m:t>
                    </m:r>
                    <m:f>
                      <m:f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a:rPr lang="it-IT" sz="1600" i="1">
                            <a:latin typeface="Cambria Math" panose="02040503050406030204" pitchFamily="18" charset="0"/>
                          </a:rPr>
                          <m:t>𝑉</m:t>
                        </m:r>
                      </m:num>
                      <m:den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3600</m:t>
                        </m:r>
                      </m:den>
                    </m:f>
                    <m:r>
                      <a:rPr lang="it-IT" sz="1600" b="0" i="1">
                        <a:latin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it-IT" sz="1600"/>
            </a:p>
          </xdr:txBody>
        </xdr:sp>
      </mc:Choice>
      <mc:Fallback xmlns="">
        <xdr:sp macro="" textlink="">
          <xdr:nvSpPr>
            <xdr:cNvPr id="3" name="Rettangolo 2">
              <a:extLst>
                <a:ext uri="{FF2B5EF4-FFF2-40B4-BE49-F238E27FC236}">
                  <a16:creationId xmlns:a16="http://schemas.microsoft.com/office/drawing/2014/main" xmlns="" xmlns:a14="http://schemas.microsoft.com/office/drawing/2010/main" id="{F1F0D71C-46D6-4498-A729-59E3569C2DB7}"/>
                </a:ext>
              </a:extLst>
            </xdr:cNvPr>
            <xdr:cNvSpPr/>
          </xdr:nvSpPr>
          <xdr:spPr>
            <a:xfrm>
              <a:off x="3305175" y="981075"/>
              <a:ext cx="2322465" cy="569094"/>
            </a:xfrm>
            <a:prstGeom prst="rect">
              <a:avLst/>
            </a:prstGeom>
          </xdr:spPr>
          <xdr:txBody>
            <a:bodyPr wrap="square">
              <a:sp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600" i="0">
                  <a:latin typeface="Cambria Math" panose="02040503050406030204" pitchFamily="18" charset="0"/>
                </a:rPr>
                <a:t>𝑞_(𝑣𝑒,0)=(</a:t>
              </a:r>
              <a:r>
                <a:rPr lang="it-IT" sz="1600" b="0" i="0">
                  <a:latin typeface="Cambria Math" panose="02040503050406030204" pitchFamily="18" charset="0"/>
                </a:rPr>
                <a:t>(</a:t>
              </a:r>
              <a:r>
                <a:rPr lang="it-IT" sz="1600" i="0">
                  <a:latin typeface="Cambria Math" panose="02040503050406030204" pitchFamily="18" charset="0"/>
                </a:rPr>
                <a:t>𝑛 𝑉</a:t>
              </a:r>
              <a:r>
                <a:rPr lang="it-IT" sz="1600" b="0" i="0">
                  <a:latin typeface="Cambria Math" panose="02040503050406030204" pitchFamily="18" charset="0"/>
                </a:rPr>
                <a:t>)/3600)</a:t>
              </a:r>
              <a:endParaRPr lang="it-IT" sz="1600"/>
            </a:p>
          </xdr:txBody>
        </xdr:sp>
      </mc:Fallback>
    </mc:AlternateContent>
    <xdr:clientData/>
  </xdr:twoCellAnchor>
  <xdr:twoCellAnchor>
    <xdr:from>
      <xdr:col>6</xdr:col>
      <xdr:colOff>57150</xdr:colOff>
      <xdr:row>8</xdr:row>
      <xdr:rowOff>57150</xdr:rowOff>
    </xdr:from>
    <xdr:to>
      <xdr:col>13</xdr:col>
      <xdr:colOff>153692</xdr:colOff>
      <xdr:row>11</xdr:row>
      <xdr:rowOff>94422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sellaDiTesto 23">
              <a:extLst>
                <a:ext uri="{FF2B5EF4-FFF2-40B4-BE49-F238E27FC236}">
                  <a16:creationId xmlns="" xmlns:a16="http://schemas.microsoft.com/office/drawing/2014/main" id="{00000000-0008-0000-0500-000004000000}"/>
                </a:ext>
              </a:extLst>
            </xdr:cNvPr>
            <xdr:cNvSpPr txBox="1"/>
          </xdr:nvSpPr>
          <xdr:spPr>
            <a:xfrm>
              <a:off x="3962400" y="1666875"/>
              <a:ext cx="4363742" cy="63734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>
                  <m:sSub>
                    <m:sSubPr>
                      <m:ctrlPr>
                        <a:rPr lang="it-IT" sz="20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2000" i="1">
                          <a:latin typeface="Cambria Math" panose="02040503050406030204" pitchFamily="18" charset="0"/>
                        </a:rPr>
                        <m:t>𝑞</m:t>
                      </m:r>
                    </m:e>
                    <m:sub>
                      <m:r>
                        <a:rPr lang="it-IT" sz="2000" i="1">
                          <a:latin typeface="Cambria Math" panose="02040503050406030204" pitchFamily="18" charset="0"/>
                        </a:rPr>
                        <m:t>𝑣𝑒</m:t>
                      </m:r>
                      <m:r>
                        <a:rPr lang="it-IT" sz="2000" i="1">
                          <a:latin typeface="Cambria Math" panose="02040503050406030204" pitchFamily="18" charset="0"/>
                        </a:rPr>
                        <m:t>,</m:t>
                      </m:r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𝑘</m:t>
                      </m:r>
                      <m:r>
                        <a:rPr lang="it-IT" sz="2000" b="0" i="1">
                          <a:latin typeface="Cambria Math" panose="02040503050406030204" pitchFamily="18" charset="0"/>
                        </a:rPr>
                        <m:t>,</m:t>
                      </m:r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𝑚𝑛</m:t>
                      </m:r>
                    </m:sub>
                  </m:sSub>
                  <m:r>
                    <a:rPr lang="it-IT" sz="2000" b="0" i="1">
                      <a:latin typeface="Cambria Math" panose="02040503050406030204" pitchFamily="18" charset="0"/>
                    </a:rPr>
                    <m:t>=</m:t>
                  </m:r>
                  <m:sSub>
                    <m:sSubPr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𝑞</m:t>
                      </m:r>
                    </m:e>
                    <m:sub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𝑣𝑒</m:t>
                      </m:r>
                      <m:r>
                        <a:rPr lang="it-IT" sz="2000" i="1">
                          <a:latin typeface="Cambria Math" panose="02040503050406030204" pitchFamily="18" charset="0"/>
                        </a:rPr>
                        <m:t>,0,</m:t>
                      </m:r>
                    </m:sub>
                  </m:sSub>
                  <m:r>
                    <a:rPr lang="it-IT" sz="2000" b="0" i="1" baseline="-25000">
                      <a:latin typeface="Cambria Math" panose="02040503050406030204" pitchFamily="18" charset="0"/>
                    </a:rPr>
                    <m:t>𝑘</m:t>
                  </m:r>
                  <m:r>
                    <a:rPr lang="it-IT" sz="20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sSub>
                    <m:sSubPr>
                      <m:ctrlPr>
                        <a:rPr lang="it-IT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𝑓</m:t>
                      </m:r>
                    </m:e>
                    <m:sub>
                      <m:r>
                        <a:rPr lang="it-IT" sz="20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𝑣𝑒</m:t>
                      </m:r>
                      <m:r>
                        <a:rPr lang="it-IT" sz="20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,</m:t>
                      </m:r>
                      <m:r>
                        <a:rPr lang="it-IT" sz="20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𝑡</m:t>
                      </m:r>
                      <m:r>
                        <a:rPr lang="it-IT" sz="20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,</m:t>
                      </m:r>
                      <m:r>
                        <a:rPr lang="it-IT" sz="200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𝑘</m:t>
                      </m:r>
                    </m:sub>
                  </m:sSub>
                </m:oMath>
              </a14:m>
              <a:r>
                <a:rPr lang="it-IT" sz="2000" b="0">
                  <a:ea typeface="Cambria Math" panose="02040503050406030204" pitchFamily="18" charset="0"/>
                </a:rPr>
                <a:t> </a:t>
              </a:r>
            </a:p>
            <a:p>
              <a:endParaRPr lang="it-IT" sz="2000"/>
            </a:p>
          </xdr:txBody>
        </xdr:sp>
      </mc:Choice>
      <mc:Fallback xmlns="">
        <xdr:sp macro="" textlink="">
          <xdr:nvSpPr>
            <xdr:cNvPr id="4" name="CasellaDiTesto 23">
              <a:extLst>
                <a:ext uri="{FF2B5EF4-FFF2-40B4-BE49-F238E27FC236}">
                  <a16:creationId xmlns:a16="http://schemas.microsoft.com/office/drawing/2014/main" xmlns="" xmlns:a14="http://schemas.microsoft.com/office/drawing/2010/main" id="{F5EF42C9-CABD-47CF-8671-C11988C564E9}"/>
                </a:ext>
              </a:extLst>
            </xdr:cNvPr>
            <xdr:cNvSpPr txBox="1"/>
          </xdr:nvSpPr>
          <xdr:spPr>
            <a:xfrm>
              <a:off x="3962400" y="1666875"/>
              <a:ext cx="4363742" cy="63734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2000" i="0">
                  <a:latin typeface="Cambria Math" panose="02040503050406030204" pitchFamily="18" charset="0"/>
                </a:rPr>
                <a:t>𝑞_(𝑣𝑒,</a:t>
              </a:r>
              <a:r>
                <a:rPr lang="it-IT" sz="2000" b="0" i="0">
                  <a:latin typeface="Cambria Math" panose="02040503050406030204" pitchFamily="18" charset="0"/>
                </a:rPr>
                <a:t>𝑘,𝑚𝑛)=𝑞_(𝑣𝑒</a:t>
              </a:r>
              <a:r>
                <a:rPr lang="it-IT" sz="2000" i="0">
                  <a:latin typeface="Cambria Math" panose="02040503050406030204" pitchFamily="18" charset="0"/>
                </a:rPr>
                <a:t>,0,</a:t>
              </a:r>
              <a:r>
                <a:rPr lang="it-IT" sz="2000" b="0" i="0">
                  <a:latin typeface="Cambria Math" panose="02040503050406030204" pitchFamily="18" charset="0"/>
                </a:rPr>
                <a:t>)</a:t>
              </a:r>
              <a:r>
                <a:rPr lang="it-IT" sz="2000" b="0" i="0" baseline="-25000">
                  <a:latin typeface="Cambria Math" panose="02040503050406030204" pitchFamily="18" charset="0"/>
                </a:rPr>
                <a:t> 𝑘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×𝑓_(𝑣𝑒</a:t>
              </a:r>
              <a:r>
                <a:rPr lang="it-IT" sz="2000" i="0">
                  <a:latin typeface="Cambria Math" panose="02040503050406030204" pitchFamily="18" charset="0"/>
                  <a:ea typeface="Cambria Math" panose="02040503050406030204" pitchFamily="18" charset="0"/>
                </a:rPr>
                <a:t>,𝑡,𝑘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it-IT" sz="2000" b="0">
                  <a:ea typeface="Cambria Math" panose="02040503050406030204" pitchFamily="18" charset="0"/>
                </a:rPr>
                <a:t> </a:t>
              </a:r>
            </a:p>
            <a:p>
              <a:endParaRPr lang="it-IT" sz="2000"/>
            </a:p>
          </xdr:txBody>
        </xdr:sp>
      </mc:Fallback>
    </mc:AlternateContent>
    <xdr:clientData/>
  </xdr:twoCellAnchor>
  <xdr:twoCellAnchor>
    <xdr:from>
      <xdr:col>5</xdr:col>
      <xdr:colOff>466725</xdr:colOff>
      <xdr:row>17</xdr:row>
      <xdr:rowOff>76199</xdr:rowOff>
    </xdr:from>
    <xdr:to>
      <xdr:col>18</xdr:col>
      <xdr:colOff>28575</xdr:colOff>
      <xdr:row>22</xdr:row>
      <xdr:rowOff>38099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asellaDiTesto 23">
              <a:extLst>
                <a:ext uri="{FF2B5EF4-FFF2-40B4-BE49-F238E27FC236}">
                  <a16:creationId xmlns="" xmlns:a16="http://schemas.microsoft.com/office/drawing/2014/main" id="{00000000-0008-0000-0500-000005000000}"/>
                </a:ext>
              </a:extLst>
            </xdr:cNvPr>
            <xdr:cNvSpPr txBox="1"/>
          </xdr:nvSpPr>
          <xdr:spPr>
            <a:xfrm>
              <a:off x="4200525" y="3428999"/>
              <a:ext cx="7486650" cy="100012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14:m>
                <m:oMath xmlns:m="http://schemas.openxmlformats.org/officeDocument/2006/math">
                  <m:sSub>
                    <m:sSubPr>
                      <m:ctrlPr>
                        <a:rPr lang="it-IT" sz="2000" i="1"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it-IT" sz="2000" i="1">
                          <a:latin typeface="Cambria Math" panose="02040503050406030204" pitchFamily="18" charset="0"/>
                        </a:rPr>
                        <m:t>𝑞</m:t>
                      </m:r>
                    </m:e>
                    <m:sub>
                      <m:r>
                        <a:rPr lang="it-IT" sz="2000" i="1">
                          <a:latin typeface="Cambria Math" panose="02040503050406030204" pitchFamily="18" charset="0"/>
                        </a:rPr>
                        <m:t>𝑣𝑒</m:t>
                      </m:r>
                      <m:r>
                        <a:rPr lang="it-IT" sz="2000" i="1">
                          <a:latin typeface="Cambria Math" panose="02040503050406030204" pitchFamily="18" charset="0"/>
                        </a:rPr>
                        <m:t>,</m:t>
                      </m:r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𝑘</m:t>
                      </m:r>
                      <m:r>
                        <a:rPr lang="it-IT" sz="2000" b="0" i="1">
                          <a:latin typeface="Cambria Math" panose="02040503050406030204" pitchFamily="18" charset="0"/>
                        </a:rPr>
                        <m:t>,</m:t>
                      </m:r>
                      <m:r>
                        <a:rPr lang="it-IT" sz="2000" b="0" i="1">
                          <a:latin typeface="Cambria Math" panose="02040503050406030204" pitchFamily="18" charset="0"/>
                        </a:rPr>
                        <m:t>𝑚𝑛</m:t>
                      </m:r>
                    </m:sub>
                  </m:sSub>
                  <m:r>
                    <a:rPr lang="it-IT" sz="2000" b="0" i="1">
                      <a:latin typeface="Cambria Math" panose="02040503050406030204" pitchFamily="18" charset="0"/>
                    </a:rPr>
                    <m:t>=(</m:t>
                  </m:r>
                  <m:bar>
                    <m:barPr>
                      <m:pos m:val="top"/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barPr>
                    <m:e>
                      <m:sSub>
                        <m:sSubPr>
                          <m:ctrlP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𝑞</m:t>
                          </m:r>
                        </m:e>
                        <m:sub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𝑣𝑒</m:t>
                          </m:r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,0</m:t>
                          </m:r>
                        </m:sub>
                      </m:sSub>
                    </m:e>
                  </m:bar>
                  <m:r>
                    <a:rPr lang="it-IT" sz="2000" b="0" i="1">
                      <a:latin typeface="Cambria Math" panose="02040503050406030204" pitchFamily="18" charset="0"/>
                    </a:rPr>
                    <m:t>+</m:t>
                  </m:r>
                  <m:bar>
                    <m:barPr>
                      <m:pos m:val="top"/>
                      <m:ctrlPr>
                        <a:rPr lang="it-IT" sz="2000" b="0" i="1">
                          <a:latin typeface="Cambria Math" panose="02040503050406030204" pitchFamily="18" charset="0"/>
                        </a:rPr>
                      </m:ctrlPr>
                    </m:barPr>
                    <m:e>
                      <m:sSubSup>
                        <m:sSubSupPr>
                          <m:ctrlP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𝑞</m:t>
                          </m:r>
                        </m:e>
                        <m:sub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𝑣𝑒</m:t>
                          </m:r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,</m:t>
                          </m:r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𝑥</m:t>
                          </m:r>
                        </m:sub>
                        <m:sup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bSup>
                    </m:e>
                  </m:bar>
                </m:oMath>
              </a14:m>
              <a:r>
                <a:rPr lang="it-IT" sz="2000"/>
                <a:t>)</a:t>
              </a:r>
              <a:r>
                <a:rPr lang="it-IT" sz="2000" baseline="-25000"/>
                <a:t>k</a:t>
              </a:r>
              <a:r>
                <a:rPr lang="it-IT" sz="2000" baseline="0"/>
                <a:t> </a:t>
              </a:r>
              <a14:m>
                <m:oMath xmlns:m="http://schemas.openxmlformats.org/officeDocument/2006/math">
                  <m:r>
                    <a:rPr lang="it-IT" sz="1800" b="0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it-IT" sz="2000"/>
                <a:t> (1-</a:t>
              </a:r>
              <a:r>
                <a:rPr lang="el-GR" sz="2000"/>
                <a:t>β</a:t>
              </a:r>
              <a:r>
                <a:rPr lang="it-IT" sz="2000" baseline="-25000"/>
                <a:t>k</a:t>
              </a:r>
              <a:r>
                <a:rPr lang="it-IT" sz="2000" baseline="0"/>
                <a:t>) +</a:t>
              </a:r>
              <a14:m>
                <m:oMath xmlns:m="http://schemas.openxmlformats.org/officeDocument/2006/math">
                  <m:r>
                    <a:rPr lang="it-IT" sz="1800" b="0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(</m:t>
                  </m:r>
                  <m:sSub>
                    <m:sSubPr>
                      <m:ctrlP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𝑞</m:t>
                      </m:r>
                    </m:e>
                    <m:sub>
                      <m: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𝑣𝑒</m:t>
                      </m:r>
                      <m: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,</m:t>
                      </m:r>
                      <m: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𝑓</m:t>
                      </m:r>
                    </m:sub>
                  </m:sSub>
                  <m:r>
                    <a:rPr lang="it-IT" sz="1800" b="0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b>
                    <m:sSubPr>
                      <m:ctrlP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𝑏</m:t>
                      </m:r>
                    </m:e>
                    <m:sub>
                      <m: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𝑣𝑒</m:t>
                      </m:r>
                    </m:sub>
                  </m:sSub>
                  <m:r>
                    <a:rPr lang="it-IT" sz="1800" b="0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r>
                    <a:rPr lang="it-IT" sz="1800" b="0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𝐹</m:t>
                  </m:r>
                  <m:sSub>
                    <m:sSubPr>
                      <m:ctrlP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𝐶</m:t>
                      </m:r>
                    </m:e>
                    <m:sub>
                      <m: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𝑣𝑒</m:t>
                      </m:r>
                    </m:sub>
                  </m:sSub>
                  <m:r>
                    <a:rPr lang="it-IT" sz="1800" b="0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bar>
                    <m:barPr>
                      <m:pos m:val="top"/>
                      <m:ctrlPr>
                        <a:rPr lang="it-IT" sz="1800" b="0" i="1" kern="1200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barPr>
                    <m:e>
                      <m:sSub>
                        <m:sSubPr>
                          <m:ctrlP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𝑞</m:t>
                          </m:r>
                        </m:e>
                        <m:sub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𝑣𝑒</m:t>
                          </m:r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,</m:t>
                          </m:r>
                          <m:r>
                            <a:rPr lang="it-IT" sz="1800" b="0" i="1" kern="1200">
                              <a:solidFill>
                                <a:schemeClr val="tx1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𝑥</m:t>
                          </m:r>
                        </m:sub>
                      </m:sSub>
                    </m:e>
                  </m:bar>
                </m:oMath>
              </a14:m>
              <a:r>
                <a:rPr lang="it-IT" sz="18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it-IT" sz="1800" kern="12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k</a:t>
              </a:r>
              <a:r>
                <a:rPr lang="it-IT" sz="1800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14:m>
                <m:oMath xmlns:m="http://schemas.openxmlformats.org/officeDocument/2006/math">
                  <m:r>
                    <a:rPr lang="it-IT" sz="1800" b="0" i="1" kern="1200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</m:oMath>
              </a14:m>
              <a:r>
                <a:rPr lang="it-IT" sz="18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l-GR" sz="18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β</a:t>
              </a:r>
              <a:r>
                <a:rPr lang="it-IT" sz="1800" kern="12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k</a:t>
              </a:r>
              <a:endParaRPr lang="it-IT" sz="2000"/>
            </a:p>
          </xdr:txBody>
        </xdr:sp>
      </mc:Choice>
      <mc:Fallback xmlns="">
        <xdr:sp macro="" textlink="">
          <xdr:nvSpPr>
            <xdr:cNvPr id="5" name="CasellaDiTesto 23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500-000005000000}"/>
                </a:ext>
              </a:extLst>
            </xdr:cNvPr>
            <xdr:cNvSpPr txBox="1"/>
          </xdr:nvSpPr>
          <xdr:spPr>
            <a:xfrm>
              <a:off x="4200525" y="3428999"/>
              <a:ext cx="7486650" cy="1000125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2000" i="0">
                  <a:latin typeface="Cambria Math" panose="02040503050406030204" pitchFamily="18" charset="0"/>
                </a:rPr>
                <a:t>𝑞_(𝑣𝑒,</a:t>
              </a:r>
              <a:r>
                <a:rPr lang="it-IT" sz="2000" b="0" i="0">
                  <a:latin typeface="Cambria Math" panose="02040503050406030204" pitchFamily="18" charset="0"/>
                </a:rPr>
                <a:t>𝑘,𝑚𝑛)=(¯(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𝑞_(𝑣𝑒,0) </a:t>
              </a:r>
              <a:r>
                <a:rPr lang="it-IT" sz="20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it-IT" sz="2000" b="0" i="0">
                  <a:latin typeface="Cambria Math" panose="02040503050406030204" pitchFamily="18" charset="0"/>
                </a:rPr>
                <a:t>+¯(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𝑞_(𝑣𝑒,𝑥)^′ </a:t>
              </a:r>
              <a:r>
                <a:rPr lang="it-IT" sz="20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it-IT" sz="2000"/>
                <a:t>)</a:t>
              </a:r>
              <a:r>
                <a:rPr lang="it-IT" sz="2000" baseline="-25000"/>
                <a:t>k</a:t>
              </a:r>
              <a:r>
                <a:rPr lang="it-IT" sz="2000" baseline="0"/>
                <a:t> 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it-IT" sz="2000"/>
                <a:t> (1-</a:t>
              </a:r>
              <a:r>
                <a:rPr lang="el-GR" sz="2000"/>
                <a:t>β</a:t>
              </a:r>
              <a:r>
                <a:rPr lang="it-IT" sz="2000" baseline="-25000"/>
                <a:t>k</a:t>
              </a:r>
              <a:r>
                <a:rPr lang="it-IT" sz="2000" baseline="0"/>
                <a:t>) +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(𝑞_(𝑣𝑒,𝑓)×𝑏_𝑣𝑒×𝐹𝐶_𝑣𝑒+¯(𝑞_(𝑣𝑒,𝑥) )</a:t>
              </a:r>
              <a:r>
                <a:rPr lang="it-IT" sz="18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it-IT" sz="1800" kern="12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k</a:t>
              </a:r>
              <a:r>
                <a:rPr lang="it-IT" sz="1800" kern="1200" baseline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</a:t>
              </a:r>
              <a:r>
                <a:rPr lang="it-IT" sz="18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el-GR" sz="18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β</a:t>
              </a:r>
              <a:r>
                <a:rPr lang="it-IT" sz="1800" kern="1200" baseline="-250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k</a:t>
              </a:r>
              <a:endParaRPr lang="it-IT" sz="2000"/>
            </a:p>
          </xdr:txBody>
        </xdr:sp>
      </mc:Fallback>
    </mc:AlternateContent>
    <xdr:clientData/>
  </xdr:twoCellAnchor>
  <xdr:twoCellAnchor>
    <xdr:from>
      <xdr:col>8</xdr:col>
      <xdr:colOff>228602</xdr:colOff>
      <xdr:row>16</xdr:row>
      <xdr:rowOff>9525</xdr:rowOff>
    </xdr:from>
    <xdr:to>
      <xdr:col>10</xdr:col>
      <xdr:colOff>523875</xdr:colOff>
      <xdr:row>18</xdr:row>
      <xdr:rowOff>28575</xdr:rowOff>
    </xdr:to>
    <xdr:cxnSp macro="">
      <xdr:nvCxnSpPr>
        <xdr:cNvPr id="9" name="Connettore 2 8">
          <a:extLst>
            <a:ext uri="{FF2B5EF4-FFF2-40B4-BE49-F238E27FC236}">
              <a16:creationId xmlns:a16="http://schemas.microsoft.com/office/drawing/2014/main" xmlns="" id="{00000000-0008-0000-0500-000009000000}"/>
            </a:ext>
          </a:extLst>
        </xdr:cNvPr>
        <xdr:cNvCxnSpPr/>
      </xdr:nvCxnSpPr>
      <xdr:spPr>
        <a:xfrm flipH="1">
          <a:off x="5791202" y="3171825"/>
          <a:ext cx="1514473" cy="400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16</xdr:row>
      <xdr:rowOff>133350</xdr:rowOff>
    </xdr:from>
    <xdr:to>
      <xdr:col>10</xdr:col>
      <xdr:colOff>533401</xdr:colOff>
      <xdr:row>17</xdr:row>
      <xdr:rowOff>123825</xdr:rowOff>
    </xdr:to>
    <xdr:cxnSp macro="">
      <xdr:nvCxnSpPr>
        <xdr:cNvPr id="10" name="Connettore 2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CxnSpPr/>
      </xdr:nvCxnSpPr>
      <xdr:spPr>
        <a:xfrm flipH="1">
          <a:off x="6772275" y="3295650"/>
          <a:ext cx="542926" cy="180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571500</xdr:colOff>
      <xdr:row>16</xdr:row>
      <xdr:rowOff>9525</xdr:rowOff>
    </xdr:from>
    <xdr:to>
      <xdr:col>15</xdr:col>
      <xdr:colOff>285750</xdr:colOff>
      <xdr:row>18</xdr:row>
      <xdr:rowOff>28575</xdr:rowOff>
    </xdr:to>
    <xdr:cxnSp macro="">
      <xdr:nvCxnSpPr>
        <xdr:cNvPr id="13" name="Connettore 2 12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CxnSpPr/>
      </xdr:nvCxnSpPr>
      <xdr:spPr>
        <a:xfrm>
          <a:off x="8572500" y="3171825"/>
          <a:ext cx="1543050" cy="4000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57151</xdr:colOff>
      <xdr:row>15</xdr:row>
      <xdr:rowOff>28575</xdr:rowOff>
    </xdr:from>
    <xdr:to>
      <xdr:col>12</xdr:col>
      <xdr:colOff>476251</xdr:colOff>
      <xdr:row>16</xdr:row>
      <xdr:rowOff>123825</xdr:rowOff>
    </xdr:to>
    <xdr:sp macro="" textlink="">
      <xdr:nvSpPr>
        <xdr:cNvPr id="16" name="Rettangolo 15">
          <a:extLst>
            <a:ext uri="{FF2B5EF4-FFF2-40B4-BE49-F238E27FC236}">
              <a16:creationId xmlns:a16="http://schemas.microsoft.com/office/drawing/2014/main" xmlns="" id="{00000000-0008-0000-0500-000010000000}"/>
            </a:ext>
          </a:extLst>
        </xdr:cNvPr>
        <xdr:cNvSpPr/>
      </xdr:nvSpPr>
      <xdr:spPr>
        <a:xfrm>
          <a:off x="7448551" y="3000375"/>
          <a:ext cx="1028700" cy="2857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/>
            <a:t>Daily</a:t>
          </a:r>
          <a:r>
            <a:rPr lang="it-IT" sz="1100" baseline="0"/>
            <a:t> average</a:t>
          </a:r>
          <a:endParaRPr lang="it-IT" sz="1100"/>
        </a:p>
      </xdr:txBody>
    </xdr:sp>
    <xdr:clientData/>
  </xdr:twoCellAnchor>
  <xdr:twoCellAnchor>
    <xdr:from>
      <xdr:col>5</xdr:col>
      <xdr:colOff>457200</xdr:colOff>
      <xdr:row>20</xdr:row>
      <xdr:rowOff>114299</xdr:rowOff>
    </xdr:from>
    <xdr:to>
      <xdr:col>12</xdr:col>
      <xdr:colOff>553742</xdr:colOff>
      <xdr:row>23</xdr:row>
      <xdr:rowOff>151571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CasellaDiTesto 23">
              <a:extLst>
                <a:ext uri="{FF2B5EF4-FFF2-40B4-BE49-F238E27FC236}">
                  <a16:creationId xmlns="" xmlns:a16="http://schemas.microsoft.com/office/drawing/2014/main" id="{00000000-0008-0000-0500-000019000000}"/>
                </a:ext>
              </a:extLst>
            </xdr:cNvPr>
            <xdr:cNvSpPr txBox="1"/>
          </xdr:nvSpPr>
          <xdr:spPr>
            <a:xfrm>
              <a:off x="4191000" y="4067174"/>
              <a:ext cx="4363742" cy="665922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i="1">
                            <a:latin typeface="Cambria Math" panose="02040503050406030204" pitchFamily="18" charset="0"/>
                          </a:rPr>
                          <m:t>𝑞</m:t>
                        </m:r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′</m:t>
                        </m:r>
                      </m:e>
                      <m:sub>
                        <m:r>
                          <a:rPr lang="it-IT" sz="2000" i="1">
                            <a:latin typeface="Cambria Math" panose="02040503050406030204" pitchFamily="18" charset="0"/>
                          </a:rPr>
                          <m:t>𝑣𝑒</m:t>
                        </m:r>
                        <m:r>
                          <a:rPr lang="it-IT" sz="200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it-IT" sz="2000" b="0" i="1">
                            <a:latin typeface="Cambria Math" panose="02040503050406030204" pitchFamily="18" charset="0"/>
                          </a:rPr>
                          <m:t>𝑥</m:t>
                        </m:r>
                      </m:sub>
                    </m:sSub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𝑉</m:t>
                    </m:r>
                    <m:r>
                      <a:rPr lang="it-IT" sz="2000" b="0" i="1">
                        <a:latin typeface="Cambria Math" panose="02040503050406030204" pitchFamily="18" charset="0"/>
                      </a:rPr>
                      <m:t> ×</m:t>
                    </m:r>
                    <m:sSub>
                      <m:sSubPr>
                        <m:ctrlPr>
                          <a:rPr lang="it-IT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e>
                      <m:sub>
                        <m:r>
                          <a:rPr lang="it-IT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50</m:t>
                        </m:r>
                      </m:sub>
                    </m:sSub>
                    <m:r>
                      <a:rPr lang="it-IT" sz="2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f>
                      <m:fPr>
                        <m:ctrlPr>
                          <a:rPr lang="it-IT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l-GR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ε</m:t>
                        </m:r>
                      </m:num>
                      <m:den>
                        <m:r>
                          <a:rPr lang="it-IT" sz="2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3600</m:t>
                        </m:r>
                      </m:den>
                    </m:f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25" name="CasellaDiTesto 23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500-000019000000}"/>
                </a:ext>
              </a:extLst>
            </xdr:cNvPr>
            <xdr:cNvSpPr txBox="1"/>
          </xdr:nvSpPr>
          <xdr:spPr>
            <a:xfrm>
              <a:off x="4191000" y="4067174"/>
              <a:ext cx="4363742" cy="665922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i="0">
                  <a:latin typeface="Cambria Math" panose="02040503050406030204" pitchFamily="18" charset="0"/>
                </a:rPr>
                <a:t>〖𝑞</a:t>
              </a:r>
              <a:r>
                <a:rPr lang="it-IT" sz="2000" b="0" i="0">
                  <a:latin typeface="Cambria Math" panose="02040503050406030204" pitchFamily="18" charset="0"/>
                </a:rPr>
                <a:t>′〗_(</a:t>
              </a:r>
              <a:r>
                <a:rPr lang="it-IT" sz="2000" i="0">
                  <a:latin typeface="Cambria Math" panose="02040503050406030204" pitchFamily="18" charset="0"/>
                </a:rPr>
                <a:t>𝑣𝑒,</a:t>
              </a:r>
              <a:r>
                <a:rPr lang="it-IT" sz="2000" b="0" i="0">
                  <a:latin typeface="Cambria Math" panose="02040503050406030204" pitchFamily="18" charset="0"/>
                </a:rPr>
                <a:t>𝑥)=𝑉 ×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𝑛_50×</a:t>
              </a:r>
              <a:r>
                <a:rPr lang="el-GR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ε</a:t>
              </a:r>
              <a:r>
                <a:rPr lang="it-IT" sz="2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/3600</a:t>
              </a:r>
              <a:endParaRPr lang="it-IT" sz="2000"/>
            </a:p>
          </xdr:txBody>
        </xdr:sp>
      </mc:Fallback>
    </mc:AlternateContent>
    <xdr:clientData/>
  </xdr:twoCellAnchor>
  <xdr:twoCellAnchor>
    <xdr:from>
      <xdr:col>5</xdr:col>
      <xdr:colOff>371475</xdr:colOff>
      <xdr:row>24</xdr:row>
      <xdr:rowOff>66675</xdr:rowOff>
    </xdr:from>
    <xdr:to>
      <xdr:col>12</xdr:col>
      <xdr:colOff>468017</xdr:colOff>
      <xdr:row>27</xdr:row>
      <xdr:rowOff>75372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CasellaDiTesto 23">
              <a:extLst>
                <a:ext uri="{FF2B5EF4-FFF2-40B4-BE49-F238E27FC236}">
                  <a16:creationId xmlns="" xmlns:a16="http://schemas.microsoft.com/office/drawing/2014/main" id="{00000000-0008-0000-0500-00001A000000}"/>
                </a:ext>
              </a:extLst>
            </xdr:cNvPr>
            <xdr:cNvSpPr txBox="1"/>
          </xdr:nvSpPr>
          <xdr:spPr>
            <a:xfrm>
              <a:off x="4105275" y="4838700"/>
              <a:ext cx="4363742" cy="63734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bar>
                      <m:barPr>
                        <m:pos m:val="top"/>
                        <m:ctrlPr>
                          <a:rPr lang="it-IT" sz="2000" i="1">
                            <a:latin typeface="Cambria Math" panose="02040503050406030204" pitchFamily="18" charset="0"/>
                          </a:rPr>
                        </m:ctrlPr>
                      </m:barPr>
                      <m:e>
                        <m:sSub>
                          <m:sSubPr>
                            <m:ctrlPr>
                              <a:rPr lang="it-IT" sz="18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it-IT" sz="18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𝑞</m:t>
                            </m:r>
                          </m:e>
                          <m:sub>
                            <m:r>
                              <a:rPr lang="it-IT" sz="18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𝑣𝑒</m:t>
                            </m:r>
                            <m:r>
                              <a:rPr lang="it-IT" sz="180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,</m:t>
                            </m:r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𝑥</m:t>
                            </m:r>
                          </m:sub>
                        </m:sSub>
                      </m:e>
                    </m:bar>
                    <m:r>
                      <a:rPr lang="it-IT" sz="20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bar>
                          <m:barPr>
                            <m:pos m:val="top"/>
                            <m:ctrlP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barPr>
                          <m:e>
                            <m:sSubSup>
                              <m:sSubSupPr>
                                <m:ctrlP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𝑞</m:t>
                                </m:r>
                              </m:e>
                              <m:sub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𝑣𝑒</m:t>
                                </m:r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𝑥</m:t>
                                </m:r>
                              </m:sub>
                              <m:sup>
                                <m: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′</m:t>
                                </m:r>
                              </m:sup>
                            </m:sSubSup>
                          </m:e>
                        </m:bar>
                      </m:num>
                      <m:den>
                        <m:r>
                          <a:rPr lang="it-IT" sz="1800" b="0" i="1" kern="120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1+</m:t>
                        </m:r>
                        <m:f>
                          <m:fPr>
                            <m:ctrlP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</m:t>
                            </m:r>
                          </m:num>
                          <m:den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den>
                        </m:f>
                        <m:sSup>
                          <m:sSupPr>
                            <m:ctrlP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pPr>
                          <m:e>
                            <m:d>
                              <m:dPr>
                                <m:begChr m:val="["/>
                                <m:endChr m:val="]"/>
                                <m:ctrlPr>
                                  <a:rPr lang="it-IT" sz="1800" b="0" i="1" kern="1200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f>
                                  <m:fPr>
                                    <m:ctrlPr>
                                      <a:rPr lang="it-IT" sz="1800" b="0" i="1" kern="120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sSub>
                                      <m:sSubPr>
                                        <m:ctrlP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𝑞</m:t>
                                        </m:r>
                                      </m:e>
                                      <m:sub>
                                        <m: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𝑣𝑒</m:t>
                                        </m:r>
                                        <m: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,</m:t>
                                        </m:r>
                                        <m: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𝑠𝑢𝑝</m:t>
                                        </m:r>
                                      </m:sub>
                                    </m:sSub>
                                    <m:r>
                                      <a:rPr lang="it-IT" sz="1800" b="0" i="1" kern="120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−</m:t>
                                    </m:r>
                                    <m:sSub>
                                      <m:sSubPr>
                                        <m:ctrlP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</m:ctrlPr>
                                      </m:sSubPr>
                                      <m:e>
                                        <m: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𝑞</m:t>
                                        </m:r>
                                      </m:e>
                                      <m:sub>
                                        <m: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𝑣𝑒</m:t>
                                        </m:r>
                                        <m: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,</m:t>
                                        </m:r>
                                        <m: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+mn-ea"/>
                                            <a:cs typeface="+mn-cs"/>
                                          </a:rPr>
                                          <m:t>𝑒𝑥𝑡</m:t>
                                        </m:r>
                                      </m:sub>
                                    </m:sSub>
                                  </m:num>
                                  <m:den>
                                    <m:r>
                                      <a:rPr lang="it-IT" sz="1800" b="0" i="1" kern="120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𝑉</m:t>
                                    </m:r>
                                    <m:r>
                                      <a:rPr lang="it-IT" sz="1800" b="0" i="1" kern="1200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Cambria Math" panose="02040503050406030204" pitchFamily="18" charset="0"/>
                                        <a:cs typeface="+mn-cs"/>
                                      </a:rPr>
                                      <m:t>×</m:t>
                                    </m:r>
                                    <m:f>
                                      <m:fPr>
                                        <m:ctrlP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  <a:cs typeface="+mn-cs"/>
                                          </a:rPr>
                                        </m:ctrlPr>
                                      </m:fPr>
                                      <m:num>
                                        <m:sSub>
                                          <m:sSubPr>
                                            <m:ctrlPr>
                                              <a:rPr lang="it-IT" sz="1800" b="0" i="1" kern="1200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  <a:cs typeface="+mn-cs"/>
                                              </a:rPr>
                                            </m:ctrlPr>
                                          </m:sSubPr>
                                          <m:e>
                                            <m:r>
                                              <a:rPr lang="it-IT" sz="1800" b="0" i="1" kern="1200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  <a:cs typeface="+mn-cs"/>
                                              </a:rPr>
                                              <m:t>𝑛</m:t>
                                            </m:r>
                                          </m:e>
                                          <m:sub>
                                            <m:r>
                                              <a:rPr lang="it-IT" sz="1800" b="0" i="1" kern="1200">
                                                <a:solidFill>
                                                  <a:schemeClr val="tx1"/>
                                                </a:solidFill>
                                                <a:effectLst/>
                                                <a:latin typeface="Cambria Math" panose="02040503050406030204" pitchFamily="18" charset="0"/>
                                                <a:ea typeface="Cambria Math" panose="02040503050406030204" pitchFamily="18" charset="0"/>
                                                <a:cs typeface="+mn-cs"/>
                                              </a:rPr>
                                              <m:t>50</m:t>
                                            </m:r>
                                          </m:sub>
                                        </m:sSub>
                                      </m:num>
                                      <m:den>
                                        <m:r>
                                          <a:rPr lang="it-IT" sz="1800" b="0" i="1" kern="1200">
                                            <a:solidFill>
                                              <a:schemeClr val="tx1"/>
                                            </a:solidFill>
                                            <a:effectLst/>
                                            <a:latin typeface="Cambria Math" panose="02040503050406030204" pitchFamily="18" charset="0"/>
                                            <a:ea typeface="Cambria Math" panose="02040503050406030204" pitchFamily="18" charset="0"/>
                                            <a:cs typeface="+mn-cs"/>
                                          </a:rPr>
                                          <m:t>3600</m:t>
                                        </m:r>
                                      </m:den>
                                    </m:f>
                                  </m:den>
                                </m:f>
                              </m:e>
                            </m:d>
                          </m:e>
                          <m:sup>
                            <m:r>
                              <a:rPr lang="it-IT" sz="1800" b="0" i="1" kern="1200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2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it-IT" sz="2000"/>
            </a:p>
          </xdr:txBody>
        </xdr:sp>
      </mc:Choice>
      <mc:Fallback xmlns="">
        <xdr:sp macro="" textlink="">
          <xdr:nvSpPr>
            <xdr:cNvPr id="26" name="CasellaDiTesto 23">
              <a:extLst>
                <a:ext uri="{FF2B5EF4-FFF2-40B4-BE49-F238E27FC236}">
                  <a16:creationId xmlns:a16="http://schemas.microsoft.com/office/drawing/2014/main" xmlns:a14="http://schemas.microsoft.com/office/drawing/2010/main" xmlns="" id="{00000000-0008-0000-0500-00001A000000}"/>
                </a:ext>
              </a:extLst>
            </xdr:cNvPr>
            <xdr:cNvSpPr txBox="1"/>
          </xdr:nvSpPr>
          <xdr:spPr>
            <a:xfrm>
              <a:off x="4105275" y="4838700"/>
              <a:ext cx="4363742" cy="637347"/>
            </a:xfrm>
            <a:prstGeom prst="rect">
              <a:avLst/>
            </a:prstGeom>
            <a:noFill/>
          </xdr:spPr>
          <xdr:txBody>
            <a:bodyPr wrap="square" rtlCol="0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it-IT" sz="2000" i="0">
                  <a:latin typeface="Cambria Math" panose="02040503050406030204" pitchFamily="18" charset="0"/>
                </a:rPr>
                <a:t>¯(</a:t>
              </a:r>
              <a:r>
                <a:rPr lang="it-IT" sz="180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𝑞_(𝑣𝑒,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𝑥) </a:t>
              </a:r>
              <a:r>
                <a:rPr lang="it-IT" sz="20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it-IT" sz="2000" b="0" i="0">
                  <a:latin typeface="Cambria Math" panose="02040503050406030204" pitchFamily="18" charset="0"/>
                </a:rPr>
                <a:t>=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¯(𝑞_(𝑣𝑒,𝑥)^′ )/(1+𝑓/𝑒 [(𝑞_(𝑣𝑒,𝑠𝑢𝑝)−𝑞_(𝑣𝑒,𝑒𝑥𝑡))/(𝑉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×𝑛_50/3600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)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]</a:t>
              </a:r>
              <a:r>
                <a:rPr lang="it-IT" sz="1800" b="0" i="0" kern="120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^2 )</a:t>
              </a:r>
              <a:endParaRPr lang="it-IT" sz="2000"/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17</xdr:row>
      <xdr:rowOff>47625</xdr:rowOff>
    </xdr:from>
    <xdr:to>
      <xdr:col>12</xdr:col>
      <xdr:colOff>228600</xdr:colOff>
      <xdr:row>31</xdr:row>
      <xdr:rowOff>171450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457200</xdr:colOff>
      <xdr:row>17</xdr:row>
      <xdr:rowOff>38100</xdr:rowOff>
    </xdr:from>
    <xdr:ext cx="65" cy="172227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 txBox="1"/>
      </xdr:nvSpPr>
      <xdr:spPr>
        <a:xfrm>
          <a:off x="5524500" y="3276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4</xdr:col>
      <xdr:colOff>95250</xdr:colOff>
      <xdr:row>1</xdr:row>
      <xdr:rowOff>142875</xdr:rowOff>
    </xdr:from>
    <xdr:to>
      <xdr:col>13</xdr:col>
      <xdr:colOff>1243</xdr:colOff>
      <xdr:row>4</xdr:row>
      <xdr:rowOff>186773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Rettangolo 2">
              <a:extLst>
                <a:ext uri="{FF2B5EF4-FFF2-40B4-BE49-F238E27FC236}">
                  <a16:creationId xmlns="" xmlns:a16="http://schemas.microsoft.com/office/drawing/2014/main" id="{00000000-0008-0000-0600-000003000000}"/>
                </a:ext>
              </a:extLst>
            </xdr:cNvPr>
            <xdr:cNvSpPr/>
          </xdr:nvSpPr>
          <xdr:spPr>
            <a:xfrm>
              <a:off x="2724150" y="333375"/>
              <a:ext cx="5535268" cy="615398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𝑚</m:t>
                        </m:r>
                      </m:sub>
                    </m:sSub>
                    <m:r>
                      <a:rPr lang="it-IT" sz="16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𝑢</m:t>
                        </m:r>
                      </m:sub>
                    </m:sSub>
                    <m:r>
                      <a:rPr lang="it-IT" sz="16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𝑑</m:t>
                        </m:r>
                      </m:sub>
                    </m:sSub>
                    <m:r>
                      <a:rPr lang="it-IT" sz="16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𝑑</m:t>
                        </m:r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𝑤</m:t>
                        </m:r>
                      </m:sub>
                    </m:sSub>
                    <m:r>
                      <a:rPr lang="it-IT" sz="1600" b="0" i="1">
                        <a:latin typeface="Cambria Math" panose="02040503050406030204" pitchFamily="18" charset="0"/>
                      </a:rPr>
                      <m:t>+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𝑣𝑒</m:t>
                        </m:r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,</m:t>
                        </m:r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𝑎𝑑𝑗</m:t>
                        </m:r>
                      </m:sub>
                    </m:sSub>
                    <m:r>
                      <a:rPr lang="it-IT" sz="16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it-IT" sz="120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Rettangolo 2">
              <a:extLst>
                <a:ext uri="{FF2B5EF4-FFF2-40B4-BE49-F238E27FC236}">
                  <a16:creationId xmlns:a14="http://schemas.microsoft.com/office/drawing/2010/main" xmlns:a16="http://schemas.microsoft.com/office/drawing/2014/main" xmlns="" id="{BA38A6EB-EFED-48CB-B33C-E38041856B31}"/>
                </a:ext>
              </a:extLst>
            </xdr:cNvPr>
            <xdr:cNvSpPr/>
          </xdr:nvSpPr>
          <xdr:spPr>
            <a:xfrm>
              <a:off x="2724150" y="333375"/>
              <a:ext cx="5535268" cy="615398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600" b="0" i="0">
                  <a:latin typeface="Cambria Math" panose="02040503050406030204" pitchFamily="18" charset="0"/>
                </a:rPr>
                <a:t>𝐻_𝑚=𝐻_𝑢+𝐻_𝑑+𝐻_(𝑑,𝑤)+𝐻_(𝑣𝑒,𝑎𝑑𝑗)  </a:t>
              </a:r>
              <a:endParaRPr lang="it-IT" sz="120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4</xdr:col>
      <xdr:colOff>85725</xdr:colOff>
      <xdr:row>4</xdr:row>
      <xdr:rowOff>38100</xdr:rowOff>
    </xdr:from>
    <xdr:to>
      <xdr:col>12</xdr:col>
      <xdr:colOff>601318</xdr:colOff>
      <xdr:row>7</xdr:row>
      <xdr:rowOff>81998</xdr:rowOff>
    </xdr:to>
    <xdr:sp macro="" textlink="">
      <xdr:nvSpPr>
        <xdr:cNvPr id="4" name="Rettangolo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2714625" y="800100"/>
          <a:ext cx="5535268" cy="615398"/>
        </a:xfrm>
        <a:prstGeom prst="rect">
          <a:avLst/>
        </a:prstGeom>
      </xdr:spPr>
      <xdr:txBody>
        <a:bodyPr wrap="square">
          <a:noAutofit/>
        </a:bodyPr>
        <a:lstStyle>
          <a:defPPr>
            <a:defRPr lang="it-I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it-IT" sz="1200">
            <a:ea typeface="Cambria Math" panose="02040503050406030204" pitchFamily="18" charset="0"/>
          </a:endParaRPr>
        </a:p>
      </xdr:txBody>
    </xdr:sp>
    <xdr:clientData/>
  </xdr:twoCellAnchor>
  <xdr:twoCellAnchor>
    <xdr:from>
      <xdr:col>4</xdr:col>
      <xdr:colOff>123824</xdr:colOff>
      <xdr:row>4</xdr:row>
      <xdr:rowOff>85725</xdr:rowOff>
    </xdr:from>
    <xdr:to>
      <xdr:col>12</xdr:col>
      <xdr:colOff>553692</xdr:colOff>
      <xdr:row>7</xdr:row>
      <xdr:rowOff>120098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Rettangolo 4">
              <a:extLst>
                <a:ext uri="{FF2B5EF4-FFF2-40B4-BE49-F238E27FC236}">
                  <a16:creationId xmlns="" xmlns:a16="http://schemas.microsoft.com/office/drawing/2014/main" id="{00000000-0008-0000-0600-000005000000}"/>
                </a:ext>
              </a:extLst>
            </xdr:cNvPr>
            <xdr:cNvSpPr/>
          </xdr:nvSpPr>
          <xdr:spPr>
            <a:xfrm>
              <a:off x="2752724" y="847725"/>
              <a:ext cx="5449543" cy="605873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l-GR" sz="1600" b="0" i="1">
                        <a:latin typeface="Cambria Math" panose="02040503050406030204" pitchFamily="18" charset="0"/>
                      </a:rPr>
                      <m:t>τ</m:t>
                    </m:r>
                    <m:r>
                      <a:rPr lang="it-IT" sz="16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it-IT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6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it-IT" sz="16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it-IT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it-IT" sz="1600" b="0" i="1">
                                <a:latin typeface="Cambria Math" panose="02040503050406030204" pitchFamily="18" charset="0"/>
                              </a:rPr>
                              <m:t>𝐻</m:t>
                            </m:r>
                          </m:e>
                          <m:sub>
                            <m:r>
                              <a:rPr lang="it-IT" sz="1600" b="0" i="1">
                                <a:latin typeface="Cambria Math" panose="02040503050406030204" pitchFamily="18" charset="0"/>
                              </a:rPr>
                              <m:t>𝑚</m:t>
                            </m:r>
                          </m:sub>
                        </m:sSub>
                      </m:den>
                    </m:f>
                    <m:r>
                      <a:rPr lang="it-IT" sz="1600" b="0" i="1">
                        <a:latin typeface="Cambria Math" panose="02040503050406030204" pitchFamily="18" charset="0"/>
                      </a:rPr>
                      <m:t>∗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𝐴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𝑑</m:t>
                        </m:r>
                      </m:sub>
                    </m:sSub>
                    <m:r>
                      <a:rPr lang="it-IT" sz="16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it-IT" sz="120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5" name="Rettangolo 4">
              <a:extLst>
                <a:ext uri="{FF2B5EF4-FFF2-40B4-BE49-F238E27FC236}">
                  <a16:creationId xmlns:a16="http://schemas.microsoft.com/office/drawing/2014/main" xmlns="" xmlns:a14="http://schemas.microsoft.com/office/drawing/2010/main" id="{82B15993-AFC4-4109-BF0B-A5CF3249DAB8}"/>
                </a:ext>
              </a:extLst>
            </xdr:cNvPr>
            <xdr:cNvSpPr/>
          </xdr:nvSpPr>
          <xdr:spPr>
            <a:xfrm>
              <a:off x="2752724" y="847725"/>
              <a:ext cx="5449543" cy="605873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l-GR" sz="1600" b="0" i="0">
                  <a:latin typeface="Cambria Math" panose="02040503050406030204" pitchFamily="18" charset="0"/>
                </a:rPr>
                <a:t>τ</a:t>
              </a:r>
              <a:r>
                <a:rPr lang="it-IT" sz="1600" b="0" i="0">
                  <a:latin typeface="Cambria Math" panose="02040503050406030204" pitchFamily="18" charset="0"/>
                </a:rPr>
                <a:t>=𝐶_𝑚/𝐻_𝑚 ∗𝐴_𝑑  </a:t>
              </a:r>
              <a:endParaRPr lang="it-IT" sz="120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>
    <xdr:from>
      <xdr:col>4</xdr:col>
      <xdr:colOff>38100</xdr:colOff>
      <xdr:row>7</xdr:row>
      <xdr:rowOff>123825</xdr:rowOff>
    </xdr:from>
    <xdr:to>
      <xdr:col>12</xdr:col>
      <xdr:colOff>553693</xdr:colOff>
      <xdr:row>10</xdr:row>
      <xdr:rowOff>167723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Rettangolo 5">
              <a:extLst>
                <a:ext uri="{FF2B5EF4-FFF2-40B4-BE49-F238E27FC236}">
                  <a16:creationId xmlns="" xmlns:a16="http://schemas.microsoft.com/office/drawing/2014/main" id="{00000000-0008-0000-0600-000006000000}"/>
                </a:ext>
              </a:extLst>
            </xdr:cNvPr>
            <xdr:cNvSpPr/>
          </xdr:nvSpPr>
          <xdr:spPr>
            <a:xfrm>
              <a:off x="2667000" y="1457325"/>
              <a:ext cx="5535268" cy="615398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h</m:t>
                        </m:r>
                      </m:sub>
                    </m:sSub>
                    <m:r>
                      <a:rPr lang="it-IT" sz="1600" b="0" i="1">
                        <a:latin typeface="Cambria Math" panose="02040503050406030204" pitchFamily="18" charset="0"/>
                      </a:rPr>
                      <m:t>=  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𝑎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h</m:t>
                        </m:r>
                        <m:r>
                          <a:rPr lang="it-IT" sz="16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it-IT" sz="1600" b="0" i="1">
                        <a:latin typeface="Cambria Math" panose="02040503050406030204" pitchFamily="18" charset="0"/>
                      </a:rPr>
                      <m:t>+</m:t>
                    </m:r>
                    <m:f>
                      <m:f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sty m:val="p"/>
                          </m:rPr>
                          <a:rPr lang="el-GR" sz="1600" b="0" i="1">
                            <a:latin typeface="Cambria Math" panose="02040503050406030204" pitchFamily="18" charset="0"/>
                          </a:rPr>
                          <m:t>τ</m:t>
                        </m:r>
                      </m:num>
                      <m:den>
                        <m:sSub>
                          <m:sSubPr>
                            <m:ctrlPr>
                              <a:rPr lang="it-IT" sz="16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m:rPr>
                                <m:sty m:val="p"/>
                              </m:rPr>
                              <a:rPr lang="el-GR" sz="1600" b="0" i="1">
                                <a:latin typeface="Cambria Math" panose="02040503050406030204" pitchFamily="18" charset="0"/>
                              </a:rPr>
                              <m:t>τ</m:t>
                            </m:r>
                          </m:e>
                          <m:sub>
                            <m:r>
                              <a:rPr lang="it-IT" sz="1600" b="0" i="1">
                                <a:latin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den>
                    </m:f>
                  </m:oMath>
                </m:oMathPara>
              </a14:m>
              <a:endParaRPr lang="it-IT" sz="1200"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6" name="Rettangolo 5">
              <a:extLst>
                <a:ext uri="{FF2B5EF4-FFF2-40B4-BE49-F238E27FC236}">
                  <a16:creationId xmlns:a16="http://schemas.microsoft.com/office/drawing/2014/main" xmlns="" id="{00000000-0008-0000-0600-000006000000}"/>
                </a:ext>
              </a:extLst>
            </xdr:cNvPr>
            <xdr:cNvSpPr/>
          </xdr:nvSpPr>
          <xdr:spPr>
            <a:xfrm>
              <a:off x="2667000" y="1457325"/>
              <a:ext cx="5535268" cy="615398"/>
            </a:xfrm>
            <a:prstGeom prst="rect">
              <a:avLst/>
            </a:prstGeom>
          </xdr:spPr>
          <xdr:txBody>
            <a:bodyPr wrap="square">
              <a:noAutofit/>
            </a:bodyPr>
            <a:lstStyle>
              <a:defPPr>
                <a:defRPr lang="it-IT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it-IT" sz="1600" b="0" i="0">
                  <a:latin typeface="Cambria Math" panose="02040503050406030204" pitchFamily="18" charset="0"/>
                </a:rPr>
                <a:t>𝑎_ℎ=  𝑎_ℎ0+</a:t>
              </a:r>
              <a:r>
                <a:rPr lang="el-GR" sz="1600" b="0" i="0">
                  <a:latin typeface="Cambria Math" panose="02040503050406030204" pitchFamily="18" charset="0"/>
                </a:rPr>
                <a:t>τ</a:t>
              </a:r>
              <a:r>
                <a:rPr lang="it-IT" sz="1600" b="0" i="0">
                  <a:latin typeface="Cambria Math" panose="02040503050406030204" pitchFamily="18" charset="0"/>
                </a:rPr>
                <a:t>/</a:t>
              </a:r>
              <a:r>
                <a:rPr lang="el-GR" sz="1600" b="0" i="0">
                  <a:latin typeface="Cambria Math" panose="02040503050406030204" pitchFamily="18" charset="0"/>
                </a:rPr>
                <a:t>τ</a:t>
              </a:r>
              <a:r>
                <a:rPr lang="it-IT" sz="1600" b="0" i="0">
                  <a:latin typeface="Cambria Math" panose="02040503050406030204" pitchFamily="18" charset="0"/>
                </a:rPr>
                <a:t>_0 </a:t>
              </a:r>
              <a:endParaRPr lang="it-IT" sz="1200">
                <a:ea typeface="Cambria Math" panose="02040503050406030204" pitchFamily="18" charset="0"/>
              </a:endParaRPr>
            </a:p>
          </xdr:txBody>
        </xdr:sp>
      </mc:Fallback>
    </mc:AlternateContent>
    <xdr:clientData/>
  </xdr:twoCellAnchor>
  <xdr:twoCellAnchor editAs="oneCell">
    <xdr:from>
      <xdr:col>6</xdr:col>
      <xdr:colOff>485775</xdr:colOff>
      <xdr:row>10</xdr:row>
      <xdr:rowOff>123825</xdr:rowOff>
    </xdr:from>
    <xdr:to>
      <xdr:col>9</xdr:col>
      <xdr:colOff>526695</xdr:colOff>
      <xdr:row>15</xdr:row>
      <xdr:rowOff>9525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52505" b="44265"/>
        <a:stretch/>
      </xdr:blipFill>
      <xdr:spPr>
        <a:xfrm>
          <a:off x="4333875" y="2038350"/>
          <a:ext cx="186972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2"/>
  <sheetViews>
    <sheetView tabSelected="1" workbookViewId="0">
      <selection activeCell="B48" sqref="B48:C48"/>
    </sheetView>
  </sheetViews>
  <sheetFormatPr defaultRowHeight="15" x14ac:dyDescent="0.25"/>
  <cols>
    <col min="2" max="2" width="11.85546875" bestFit="1" customWidth="1"/>
    <col min="3" max="3" width="15.140625" bestFit="1" customWidth="1"/>
    <col min="4" max="4" width="19.42578125" bestFit="1" customWidth="1"/>
    <col min="5" max="5" width="20.28515625" bestFit="1" customWidth="1"/>
    <col min="6" max="6" width="13.5703125" bestFit="1" customWidth="1"/>
    <col min="7" max="7" width="13.85546875" bestFit="1" customWidth="1"/>
    <col min="8" max="8" width="20" bestFit="1" customWidth="1"/>
    <col min="9" max="9" width="10.140625" bestFit="1" customWidth="1"/>
    <col min="10" max="10" width="12.7109375" bestFit="1" customWidth="1"/>
    <col min="11" max="11" width="10.140625" bestFit="1" customWidth="1"/>
    <col min="13" max="13" width="14.28515625" bestFit="1" customWidth="1"/>
  </cols>
  <sheetData>
    <row r="2" spans="2:7" x14ac:dyDescent="0.25">
      <c r="B2" s="44" t="s">
        <v>106</v>
      </c>
      <c r="C2" s="44"/>
      <c r="D2" s="44"/>
      <c r="E2" s="44"/>
      <c r="F2" s="44"/>
      <c r="G2" s="44"/>
    </row>
    <row r="4" spans="2:7" x14ac:dyDescent="0.25">
      <c r="B4" s="45" t="s">
        <v>1</v>
      </c>
      <c r="C4" s="46"/>
      <c r="D4" s="46"/>
      <c r="E4" s="46"/>
      <c r="F4" s="46"/>
      <c r="G4" s="47"/>
    </row>
    <row r="5" spans="2:7" ht="17.25" x14ac:dyDescent="0.25">
      <c r="B5" s="13"/>
      <c r="C5" s="13" t="s">
        <v>131</v>
      </c>
      <c r="D5" s="13" t="s">
        <v>255</v>
      </c>
      <c r="E5" s="13" t="s">
        <v>0</v>
      </c>
      <c r="F5" s="13" t="s">
        <v>73</v>
      </c>
      <c r="G5" s="13" t="s">
        <v>256</v>
      </c>
    </row>
    <row r="6" spans="2:7" x14ac:dyDescent="0.25">
      <c r="B6" s="12" t="s">
        <v>57</v>
      </c>
      <c r="C6" s="12">
        <v>5</v>
      </c>
      <c r="D6" s="12">
        <f>C6*$B$18</f>
        <v>15</v>
      </c>
      <c r="E6" s="12">
        <v>2</v>
      </c>
      <c r="F6" s="12">
        <v>0</v>
      </c>
      <c r="G6" s="12">
        <f>D6-E6*$E$23-F6*$E$24</f>
        <v>7.32</v>
      </c>
    </row>
    <row r="7" spans="2:7" x14ac:dyDescent="0.25">
      <c r="B7" s="12" t="s">
        <v>58</v>
      </c>
      <c r="C7" s="12">
        <v>7</v>
      </c>
      <c r="D7" s="12">
        <f>C7*$B$18</f>
        <v>21</v>
      </c>
      <c r="E7" s="12">
        <v>1</v>
      </c>
      <c r="F7" s="12">
        <v>1</v>
      </c>
      <c r="G7" s="12">
        <f>D7-E7*$E$23-F7*$E$24</f>
        <v>12.120000000000001</v>
      </c>
    </row>
    <row r="8" spans="2:7" x14ac:dyDescent="0.25">
      <c r="B8" s="12" t="s">
        <v>59</v>
      </c>
      <c r="C8" s="12">
        <f>+C6</f>
        <v>5</v>
      </c>
      <c r="D8" s="12">
        <f>C8*$B$18</f>
        <v>15</v>
      </c>
      <c r="E8" s="12">
        <v>0</v>
      </c>
      <c r="F8" s="12">
        <v>0</v>
      </c>
      <c r="G8" s="12">
        <f>D8-E8*$E$23-F8*$E$24</f>
        <v>15</v>
      </c>
    </row>
    <row r="10" spans="2:7" x14ac:dyDescent="0.25">
      <c r="B10" s="44" t="s">
        <v>107</v>
      </c>
      <c r="C10" s="44"/>
      <c r="D10" s="44"/>
      <c r="E10" s="44"/>
      <c r="F10" s="44"/>
      <c r="G10" s="44"/>
    </row>
    <row r="12" spans="2:7" x14ac:dyDescent="0.25">
      <c r="B12" s="45" t="s">
        <v>1</v>
      </c>
      <c r="C12" s="46"/>
      <c r="D12" s="46"/>
      <c r="E12" s="46"/>
      <c r="F12" s="47"/>
    </row>
    <row r="13" spans="2:7" ht="17.25" x14ac:dyDescent="0.25">
      <c r="B13" s="13"/>
      <c r="C13" s="13" t="s">
        <v>131</v>
      </c>
      <c r="D13" s="13" t="s">
        <v>255</v>
      </c>
      <c r="E13" s="13" t="s">
        <v>73</v>
      </c>
      <c r="F13" s="13" t="s">
        <v>256</v>
      </c>
    </row>
    <row r="14" spans="2:7" x14ac:dyDescent="0.25">
      <c r="B14" s="12" t="s">
        <v>58</v>
      </c>
      <c r="C14" s="12">
        <v>3</v>
      </c>
      <c r="D14" s="12">
        <f>C14*$B$18</f>
        <v>9</v>
      </c>
      <c r="E14" s="12">
        <v>1</v>
      </c>
      <c r="F14" s="12">
        <f>D14-E14*E24</f>
        <v>3.96</v>
      </c>
    </row>
    <row r="15" spans="2:7" x14ac:dyDescent="0.25">
      <c r="B15" s="12" t="s">
        <v>59</v>
      </c>
      <c r="C15" s="12">
        <v>5</v>
      </c>
      <c r="D15" s="12">
        <f>C15*$B$18</f>
        <v>15</v>
      </c>
      <c r="E15" s="12">
        <v>0</v>
      </c>
      <c r="F15" s="12">
        <f>D15-E15*E24</f>
        <v>15</v>
      </c>
    </row>
    <row r="17" spans="2:7" ht="17.25" x14ac:dyDescent="0.25">
      <c r="B17" s="13" t="s">
        <v>92</v>
      </c>
      <c r="C17" s="11"/>
      <c r="D17" s="13" t="s">
        <v>249</v>
      </c>
      <c r="E17" s="11"/>
      <c r="F17" s="13" t="s">
        <v>257</v>
      </c>
    </row>
    <row r="18" spans="2:7" x14ac:dyDescent="0.25">
      <c r="B18" s="12">
        <v>3</v>
      </c>
      <c r="D18" s="12">
        <v>0.6</v>
      </c>
      <c r="F18" s="12">
        <f>C6*C7*B18</f>
        <v>105</v>
      </c>
    </row>
    <row r="20" spans="2:7" x14ac:dyDescent="0.25">
      <c r="B20" s="44" t="s">
        <v>254</v>
      </c>
      <c r="C20" s="44"/>
      <c r="D20" s="44"/>
      <c r="E20" s="44"/>
      <c r="F20" s="44"/>
      <c r="G20" s="44"/>
    </row>
    <row r="22" spans="2:7" ht="17.25" x14ac:dyDescent="0.25">
      <c r="B22" s="12"/>
      <c r="C22" s="13" t="s">
        <v>140</v>
      </c>
      <c r="D22" s="13" t="s">
        <v>141</v>
      </c>
      <c r="E22" s="13" t="s">
        <v>258</v>
      </c>
    </row>
    <row r="23" spans="2:7" x14ac:dyDescent="0.25">
      <c r="B23" s="12" t="s">
        <v>0</v>
      </c>
      <c r="C23" s="12">
        <v>2.4</v>
      </c>
      <c r="D23" s="12">
        <v>1.6</v>
      </c>
      <c r="E23" s="12">
        <f>C23*D23</f>
        <v>3.84</v>
      </c>
    </row>
    <row r="24" spans="2:7" x14ac:dyDescent="0.25">
      <c r="B24" s="12" t="s">
        <v>73</v>
      </c>
      <c r="C24" s="12">
        <v>2.4</v>
      </c>
      <c r="D24" s="12">
        <v>2.1</v>
      </c>
      <c r="E24" s="12">
        <f>C24*D24</f>
        <v>5.04</v>
      </c>
    </row>
    <row r="26" spans="2:7" x14ac:dyDescent="0.25">
      <c r="B26" s="44" t="s">
        <v>60</v>
      </c>
      <c r="C26" s="44"/>
      <c r="D26" s="44"/>
      <c r="E26" s="44"/>
      <c r="F26" s="44"/>
      <c r="G26" s="44"/>
    </row>
    <row r="28" spans="2:7" ht="17.25" x14ac:dyDescent="0.25">
      <c r="B28" s="13" t="s">
        <v>106</v>
      </c>
      <c r="C28" s="13" t="s">
        <v>294</v>
      </c>
      <c r="E28" s="13" t="s">
        <v>107</v>
      </c>
      <c r="F28" s="13" t="s">
        <v>294</v>
      </c>
    </row>
    <row r="29" spans="2:7" x14ac:dyDescent="0.25">
      <c r="B29" s="12" t="s">
        <v>37</v>
      </c>
      <c r="C29" s="12">
        <f>+C6*C7</f>
        <v>35</v>
      </c>
      <c r="E29" s="12" t="s">
        <v>37</v>
      </c>
      <c r="F29" s="12">
        <f>+C14*C15</f>
        <v>15</v>
      </c>
    </row>
    <row r="30" spans="2:7" x14ac:dyDescent="0.25">
      <c r="B30" s="12" t="s">
        <v>42</v>
      </c>
      <c r="C30" s="12">
        <f>+C29</f>
        <v>35</v>
      </c>
      <c r="E30" s="12" t="s">
        <v>42</v>
      </c>
      <c r="F30" s="12">
        <f>+F29</f>
        <v>15</v>
      </c>
    </row>
    <row r="32" spans="2:7" x14ac:dyDescent="0.25">
      <c r="B32" s="38" t="s">
        <v>260</v>
      </c>
      <c r="C32" s="39"/>
      <c r="D32" s="39"/>
      <c r="E32" s="39"/>
      <c r="F32" s="39"/>
      <c r="G32" s="40"/>
    </row>
    <row r="33" spans="2:7" x14ac:dyDescent="0.25">
      <c r="B33" s="4"/>
    </row>
    <row r="34" spans="2:7" x14ac:dyDescent="0.25">
      <c r="B34" s="13" t="s">
        <v>78</v>
      </c>
      <c r="C34" s="13" t="s">
        <v>142</v>
      </c>
      <c r="D34" s="13" t="s">
        <v>143</v>
      </c>
      <c r="E34" s="13" t="s">
        <v>8</v>
      </c>
      <c r="F34" s="13" t="s">
        <v>9</v>
      </c>
    </row>
    <row r="35" spans="2:7" x14ac:dyDescent="0.25">
      <c r="B35" s="12" t="s">
        <v>6</v>
      </c>
      <c r="C35" s="12">
        <v>20</v>
      </c>
      <c r="D35" s="12">
        <v>0</v>
      </c>
      <c r="E35" s="12" t="s">
        <v>7</v>
      </c>
      <c r="F35" s="12">
        <v>1435</v>
      </c>
    </row>
    <row r="36" spans="2:7" x14ac:dyDescent="0.25">
      <c r="B36" s="4"/>
      <c r="C36" s="4"/>
      <c r="D36" s="4"/>
      <c r="E36" s="4"/>
      <c r="F36" s="4"/>
    </row>
    <row r="37" spans="2:7" x14ac:dyDescent="0.25">
      <c r="B37" s="13" t="s">
        <v>10</v>
      </c>
      <c r="C37" s="13" t="s">
        <v>145</v>
      </c>
      <c r="D37" s="13" t="s">
        <v>146</v>
      </c>
      <c r="E37" s="13" t="s">
        <v>144</v>
      </c>
      <c r="F37" s="13" t="s">
        <v>244</v>
      </c>
      <c r="G37" s="13" t="s">
        <v>79</v>
      </c>
    </row>
    <row r="38" spans="2:7" x14ac:dyDescent="0.25">
      <c r="B38" s="12" t="s">
        <v>5</v>
      </c>
      <c r="C38" s="12">
        <v>7.9</v>
      </c>
      <c r="D38" s="12">
        <v>718</v>
      </c>
      <c r="E38" s="15">
        <f>18-51.6*EXP(-D38/1000)</f>
        <v>-7.1666995066877313</v>
      </c>
      <c r="F38" s="15">
        <f>C38-E38</f>
        <v>15.066699506687732</v>
      </c>
      <c r="G38" s="12">
        <f>24*31*3600/10^6</f>
        <v>2.6783999999999999</v>
      </c>
    </row>
    <row r="42" spans="2:7" x14ac:dyDescent="0.25">
      <c r="B42" s="44" t="s">
        <v>291</v>
      </c>
      <c r="C42" s="48"/>
      <c r="D42" s="48"/>
      <c r="E42" s="48"/>
      <c r="F42" s="48"/>
      <c r="G42" s="48"/>
    </row>
    <row r="43" spans="2:7" x14ac:dyDescent="0.25">
      <c r="B43" s="4"/>
      <c r="C43" s="4"/>
      <c r="D43" s="4"/>
      <c r="E43" s="4"/>
      <c r="F43" s="4"/>
    </row>
    <row r="44" spans="2:7" ht="18.75" x14ac:dyDescent="0.35">
      <c r="B44" s="41" t="s">
        <v>124</v>
      </c>
      <c r="C44" s="41"/>
      <c r="D44" s="34" t="s">
        <v>125</v>
      </c>
      <c r="E44" s="12" t="s">
        <v>147</v>
      </c>
    </row>
    <row r="45" spans="2:7" x14ac:dyDescent="0.25">
      <c r="B45" s="41" t="s">
        <v>84</v>
      </c>
      <c r="C45" s="41"/>
      <c r="D45" s="12">
        <v>1</v>
      </c>
      <c r="E45" s="12">
        <v>150</v>
      </c>
    </row>
    <row r="47" spans="2:7" x14ac:dyDescent="0.25">
      <c r="B47" s="42" t="s">
        <v>287</v>
      </c>
      <c r="C47" s="43"/>
      <c r="D47" s="12" t="s">
        <v>150</v>
      </c>
      <c r="E47" s="23" t="s">
        <v>151</v>
      </c>
    </row>
    <row r="48" spans="2:7" x14ac:dyDescent="0.25">
      <c r="B48" s="41" t="s">
        <v>84</v>
      </c>
      <c r="C48" s="41"/>
      <c r="D48" s="12">
        <v>0.1</v>
      </c>
      <c r="E48" s="12">
        <v>3.4000000000000002E-2</v>
      </c>
    </row>
    <row r="50" spans="2:7" ht="17.25" x14ac:dyDescent="0.25">
      <c r="B50" s="41" t="s">
        <v>288</v>
      </c>
      <c r="C50" s="41"/>
      <c r="D50" s="34" t="s">
        <v>88</v>
      </c>
      <c r="E50" s="12" t="s">
        <v>289</v>
      </c>
      <c r="F50" s="12" t="s">
        <v>290</v>
      </c>
    </row>
    <row r="51" spans="2:7" x14ac:dyDescent="0.25">
      <c r="B51" s="41" t="s">
        <v>84</v>
      </c>
      <c r="C51" s="41"/>
      <c r="D51" s="12">
        <v>0.2</v>
      </c>
      <c r="E51" s="12">
        <v>1.5</v>
      </c>
      <c r="F51" s="12">
        <v>1</v>
      </c>
    </row>
    <row r="56" spans="2:7" x14ac:dyDescent="0.25">
      <c r="B56" s="38" t="s">
        <v>127</v>
      </c>
      <c r="C56" s="39"/>
      <c r="D56" s="39"/>
      <c r="E56" s="39"/>
      <c r="F56" s="39"/>
      <c r="G56" s="40"/>
    </row>
    <row r="58" spans="2:7" x14ac:dyDescent="0.25">
      <c r="B58" s="12" t="s">
        <v>135</v>
      </c>
      <c r="C58" s="12">
        <f>Transfer!C27</f>
        <v>5565.5697760995972</v>
      </c>
    </row>
    <row r="59" spans="2:7" x14ac:dyDescent="0.25">
      <c r="B59" s="12" t="s">
        <v>136</v>
      </c>
      <c r="C59" s="12">
        <f>IF(B45="y",Ventilation!C30,Ventilation!C15)</f>
        <v>562.46399999999983</v>
      </c>
      <c r="E59" s="41" t="s">
        <v>253</v>
      </c>
      <c r="F59" s="41"/>
      <c r="G59" s="41"/>
    </row>
    <row r="60" spans="2:7" x14ac:dyDescent="0.25">
      <c r="B60" s="12" t="s">
        <v>137</v>
      </c>
      <c r="C60" s="12">
        <f>-'Q sol'!C33</f>
        <v>-1824.7040258198342</v>
      </c>
    </row>
    <row r="61" spans="2:7" x14ac:dyDescent="0.25">
      <c r="B61" s="12" t="s">
        <v>138</v>
      </c>
      <c r="C61" s="12">
        <f>-'Q int'!E10</f>
        <v>-859.47421123482422</v>
      </c>
      <c r="E61" s="13" t="s">
        <v>134</v>
      </c>
      <c r="F61" s="13">
        <f>(C58+C59)-C62*(C60+C61)</f>
        <v>8621.2728459677237</v>
      </c>
      <c r="G61" s="13" t="s">
        <v>129</v>
      </c>
    </row>
    <row r="62" spans="2:7" ht="17.25" x14ac:dyDescent="0.25">
      <c r="B62" s="12" t="s">
        <v>139</v>
      </c>
      <c r="C62" s="12">
        <f>'eta calculation'!C17</f>
        <v>0.928864944752682</v>
      </c>
      <c r="E62" s="13" t="s">
        <v>292</v>
      </c>
      <c r="F62" s="13">
        <f>F61/C29/3.6</f>
        <v>68.422800364823203</v>
      </c>
      <c r="G62" s="13" t="s">
        <v>293</v>
      </c>
    </row>
  </sheetData>
  <mergeCells count="16">
    <mergeCell ref="B44:C44"/>
    <mergeCell ref="B45:C45"/>
    <mergeCell ref="B2:G2"/>
    <mergeCell ref="B10:G10"/>
    <mergeCell ref="B20:G20"/>
    <mergeCell ref="B26:G26"/>
    <mergeCell ref="B4:G4"/>
    <mergeCell ref="B12:F12"/>
    <mergeCell ref="B32:G32"/>
    <mergeCell ref="B42:G42"/>
    <mergeCell ref="B56:G56"/>
    <mergeCell ref="E59:G59"/>
    <mergeCell ref="B47:C47"/>
    <mergeCell ref="B48:C48"/>
    <mergeCell ref="B50:C50"/>
    <mergeCell ref="B51:C5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02"/>
  <sheetViews>
    <sheetView topLeftCell="F50" workbookViewId="0">
      <selection activeCell="M57" sqref="M57"/>
    </sheetView>
  </sheetViews>
  <sheetFormatPr defaultRowHeight="15" x14ac:dyDescent="0.25"/>
  <cols>
    <col min="2" max="2" width="37.140625" bestFit="1" customWidth="1"/>
    <col min="3" max="3" width="13.28515625" bestFit="1" customWidth="1"/>
    <col min="4" max="4" width="16" bestFit="1" customWidth="1"/>
    <col min="5" max="5" width="27.85546875" bestFit="1" customWidth="1"/>
    <col min="6" max="6" width="10.28515625" bestFit="1" customWidth="1"/>
    <col min="9" max="9" width="36.85546875" bestFit="1" customWidth="1"/>
    <col min="10" max="10" width="13.28515625" bestFit="1" customWidth="1"/>
    <col min="11" max="11" width="26.140625" bestFit="1" customWidth="1"/>
    <col min="12" max="12" width="27.85546875" bestFit="1" customWidth="1"/>
    <col min="13" max="13" width="10.28515625" bestFit="1" customWidth="1"/>
  </cols>
  <sheetData>
    <row r="2" spans="2:14" ht="17.25" x14ac:dyDescent="0.25">
      <c r="B2" s="13" t="s">
        <v>263</v>
      </c>
      <c r="D2" s="13" t="s">
        <v>133</v>
      </c>
      <c r="E2" s="13" t="s">
        <v>264</v>
      </c>
    </row>
    <row r="3" spans="2:14" x14ac:dyDescent="0.25">
      <c r="B3" s="14">
        <f>Input!D18*5.67*10^(-8)*((Input!C38+273)^4-(Input!E38+273)^4)/(Input!F38)</f>
        <v>2.7820221472827988</v>
      </c>
      <c r="D3" s="12">
        <v>0.5</v>
      </c>
      <c r="E3" s="14">
        <f>D3*5.67*10^(-8)*((Input!C38+273)^4-(Input!E38+273)^4)/(Input!F38)</f>
        <v>2.3183517894023327</v>
      </c>
    </row>
    <row r="5" spans="2:14" ht="17.25" x14ac:dyDescent="0.25">
      <c r="B5" s="21" t="s">
        <v>11</v>
      </c>
      <c r="C5" s="21" t="s">
        <v>150</v>
      </c>
      <c r="D5" s="21" t="s">
        <v>265</v>
      </c>
      <c r="E5" s="21" t="s">
        <v>151</v>
      </c>
      <c r="F5" s="21" t="s">
        <v>266</v>
      </c>
      <c r="G5" s="22"/>
      <c r="I5" s="21" t="s">
        <v>35</v>
      </c>
      <c r="J5" s="21" t="s">
        <v>150</v>
      </c>
      <c r="K5" s="21" t="s">
        <v>265</v>
      </c>
      <c r="L5" s="21" t="s">
        <v>151</v>
      </c>
      <c r="M5" s="21" t="s">
        <v>266</v>
      </c>
      <c r="N5" s="21"/>
    </row>
    <row r="6" spans="2:14" x14ac:dyDescent="0.25">
      <c r="B6" s="12" t="s">
        <v>12</v>
      </c>
      <c r="C6" s="12"/>
      <c r="D6" s="12"/>
      <c r="E6" s="12"/>
      <c r="F6" s="12">
        <v>0.04</v>
      </c>
      <c r="G6" s="12"/>
      <c r="I6" s="12" t="s">
        <v>12</v>
      </c>
      <c r="J6" s="12"/>
      <c r="K6" s="12"/>
      <c r="L6" s="12"/>
      <c r="M6" s="12">
        <v>0.25</v>
      </c>
      <c r="N6" s="12"/>
    </row>
    <row r="7" spans="2:14" x14ac:dyDescent="0.25">
      <c r="B7" s="12" t="s">
        <v>31</v>
      </c>
      <c r="C7" s="12">
        <v>0.03</v>
      </c>
      <c r="D7" s="12">
        <v>2000</v>
      </c>
      <c r="E7" s="12">
        <v>1.4</v>
      </c>
      <c r="F7" s="15">
        <f>+C7/E7</f>
        <v>2.1428571428571429E-2</v>
      </c>
      <c r="G7" s="12"/>
      <c r="I7" s="12" t="s">
        <v>31</v>
      </c>
      <c r="J7" s="12">
        <v>1.4999999999999999E-2</v>
      </c>
      <c r="K7" s="12">
        <v>1800</v>
      </c>
      <c r="L7" s="12">
        <v>0.9</v>
      </c>
      <c r="M7" s="15">
        <f>+J7/L7</f>
        <v>1.6666666666666666E-2</v>
      </c>
      <c r="N7" s="12"/>
    </row>
    <row r="8" spans="2:14" x14ac:dyDescent="0.25">
      <c r="B8" s="12" t="s">
        <v>34</v>
      </c>
      <c r="C8" s="12">
        <v>0.15</v>
      </c>
      <c r="D8" s="12">
        <v>760</v>
      </c>
      <c r="E8" s="12">
        <v>0.33300000000000002</v>
      </c>
      <c r="F8" s="15">
        <f t="shared" ref="F8:F10" si="0">+C8/E8</f>
        <v>0.4504504504504504</v>
      </c>
      <c r="G8" s="12"/>
      <c r="I8" s="12" t="s">
        <v>34</v>
      </c>
      <c r="J8" s="12">
        <v>0.12</v>
      </c>
      <c r="K8" s="12">
        <v>717</v>
      </c>
      <c r="L8" s="12">
        <v>0.38600000000000001</v>
      </c>
      <c r="M8" s="15">
        <f t="shared" ref="M8" si="1">+J8/L8</f>
        <v>0.31088082901554404</v>
      </c>
      <c r="N8" s="12"/>
    </row>
    <row r="9" spans="2:14" x14ac:dyDescent="0.25">
      <c r="B9" s="12" t="s">
        <v>32</v>
      </c>
      <c r="C9" s="12">
        <v>0.1</v>
      </c>
      <c r="D9" s="12">
        <v>30</v>
      </c>
      <c r="E9" s="12">
        <v>3.4000000000000002E-2</v>
      </c>
      <c r="F9" s="15">
        <f t="shared" si="0"/>
        <v>2.9411764705882351</v>
      </c>
      <c r="G9" s="12"/>
      <c r="I9" s="12" t="s">
        <v>36</v>
      </c>
      <c r="J9" s="12">
        <v>1.4999999999999999E-2</v>
      </c>
      <c r="K9" s="12">
        <v>1800</v>
      </c>
      <c r="L9" s="12">
        <v>0.9</v>
      </c>
      <c r="M9" s="15">
        <f>+J9/L9</f>
        <v>1.6666666666666666E-2</v>
      </c>
      <c r="N9" s="12"/>
    </row>
    <row r="10" spans="2:14" x14ac:dyDescent="0.25">
      <c r="B10" s="16" t="s">
        <v>33</v>
      </c>
      <c r="C10" s="16">
        <v>0.01</v>
      </c>
      <c r="D10" s="16">
        <v>2000</v>
      </c>
      <c r="E10" s="16">
        <v>1.4</v>
      </c>
      <c r="F10" s="15">
        <f t="shared" si="0"/>
        <v>7.1428571428571435E-3</v>
      </c>
      <c r="G10" s="12"/>
      <c r="I10" s="12" t="s">
        <v>16</v>
      </c>
      <c r="J10" s="12"/>
      <c r="K10" s="12"/>
      <c r="L10" s="12"/>
      <c r="M10" s="12">
        <v>0.25</v>
      </c>
      <c r="N10" s="12"/>
    </row>
    <row r="11" spans="2:14" x14ac:dyDescent="0.25">
      <c r="B11" s="12" t="s">
        <v>34</v>
      </c>
      <c r="C11" s="12">
        <v>0.15</v>
      </c>
      <c r="D11" s="12">
        <v>760</v>
      </c>
      <c r="E11" s="12">
        <v>0.33300000000000002</v>
      </c>
      <c r="F11" s="15">
        <f>+C11/E11</f>
        <v>0.4504504504504504</v>
      </c>
      <c r="G11" s="12"/>
      <c r="I11" s="12"/>
      <c r="J11" s="12"/>
      <c r="K11" s="12"/>
      <c r="L11" s="12"/>
      <c r="M11" s="12"/>
      <c r="N11" s="12"/>
    </row>
    <row r="12" spans="2:14" x14ac:dyDescent="0.25">
      <c r="B12" s="12" t="s">
        <v>15</v>
      </c>
      <c r="C12" s="12">
        <v>0.02</v>
      </c>
      <c r="D12" s="12">
        <v>1400</v>
      </c>
      <c r="E12" s="12">
        <v>0.7</v>
      </c>
      <c r="F12" s="15">
        <f>+C12/E12</f>
        <v>2.8571428571428574E-2</v>
      </c>
      <c r="G12" s="12"/>
      <c r="I12" s="12"/>
      <c r="J12" s="12"/>
      <c r="K12" s="12"/>
      <c r="L12" s="12"/>
      <c r="M12" s="12"/>
      <c r="N12" s="12"/>
    </row>
    <row r="13" spans="2:14" x14ac:dyDescent="0.25">
      <c r="B13" s="16" t="s">
        <v>286</v>
      </c>
      <c r="C13" s="12">
        <f>IF(Input!B48="y",Input!D48,0)</f>
        <v>0</v>
      </c>
      <c r="D13" s="12">
        <v>30</v>
      </c>
      <c r="E13" s="12">
        <f>Input!E48</f>
        <v>3.4000000000000002E-2</v>
      </c>
      <c r="F13" s="15">
        <f>+C13/E13</f>
        <v>0</v>
      </c>
      <c r="G13" s="12"/>
      <c r="I13" s="12"/>
      <c r="J13" s="12"/>
      <c r="K13" s="12"/>
      <c r="L13" s="12"/>
      <c r="M13" s="12"/>
      <c r="N13" s="12"/>
    </row>
    <row r="14" spans="2:14" ht="17.25" x14ac:dyDescent="0.25">
      <c r="B14" s="12" t="s">
        <v>16</v>
      </c>
      <c r="C14" s="12"/>
      <c r="D14" s="12"/>
      <c r="E14" s="12"/>
      <c r="F14" s="12">
        <v>0.25</v>
      </c>
      <c r="G14" s="12"/>
      <c r="I14" s="12"/>
      <c r="J14" s="12"/>
      <c r="K14" s="12"/>
      <c r="L14" s="17" t="s">
        <v>17</v>
      </c>
      <c r="M14" s="15">
        <f>SUM(M6:M10)</f>
        <v>0.84421416234887736</v>
      </c>
      <c r="N14" s="12" t="s">
        <v>152</v>
      </c>
    </row>
    <row r="15" spans="2:14" ht="17.25" x14ac:dyDescent="0.25">
      <c r="B15" s="12"/>
      <c r="C15" s="12"/>
      <c r="D15" s="12"/>
      <c r="E15" s="17" t="s">
        <v>17</v>
      </c>
      <c r="F15" s="15">
        <f>SUM(F6:F14)</f>
        <v>4.1892202286319922</v>
      </c>
      <c r="G15" s="12" t="s">
        <v>152</v>
      </c>
      <c r="I15" s="12"/>
      <c r="J15" s="12"/>
      <c r="K15" s="12"/>
      <c r="L15" s="18" t="s">
        <v>18</v>
      </c>
      <c r="M15" s="15">
        <f>1/M14</f>
        <v>1.1845335515548281</v>
      </c>
      <c r="N15" s="12" t="s">
        <v>153</v>
      </c>
    </row>
    <row r="16" spans="2:14" ht="17.25" x14ac:dyDescent="0.25">
      <c r="B16" s="12"/>
      <c r="C16" s="12"/>
      <c r="D16" s="12"/>
      <c r="E16" s="18" t="s">
        <v>18</v>
      </c>
      <c r="F16" s="15">
        <f>1/F15</f>
        <v>0.23870790873330483</v>
      </c>
      <c r="G16" s="12" t="s">
        <v>153</v>
      </c>
      <c r="I16" s="12"/>
      <c r="J16" s="12"/>
      <c r="K16" s="12"/>
      <c r="L16" s="18" t="s">
        <v>20</v>
      </c>
      <c r="M16" s="19">
        <f>Input!G8</f>
        <v>15</v>
      </c>
      <c r="N16" s="12" t="s">
        <v>155</v>
      </c>
    </row>
    <row r="17" spans="2:14" ht="18.75" x14ac:dyDescent="0.35">
      <c r="B17" s="12"/>
      <c r="C17" s="12"/>
      <c r="D17" s="12"/>
      <c r="E17" s="18" t="s">
        <v>20</v>
      </c>
      <c r="F17" s="19">
        <f>Input!G6+Input!G7</f>
        <v>19.440000000000001</v>
      </c>
      <c r="G17" s="12" t="s">
        <v>155</v>
      </c>
      <c r="I17" s="12"/>
      <c r="J17" s="12"/>
      <c r="K17" s="12"/>
      <c r="L17" s="18" t="s">
        <v>21</v>
      </c>
      <c r="M17" s="19">
        <f>+M15*M16</f>
        <v>17.768003273322421</v>
      </c>
      <c r="N17" s="12" t="s">
        <v>154</v>
      </c>
    </row>
    <row r="18" spans="2:14" ht="18" x14ac:dyDescent="0.35">
      <c r="B18" s="12"/>
      <c r="C18" s="12"/>
      <c r="D18" s="12"/>
      <c r="E18" s="18" t="s">
        <v>21</v>
      </c>
      <c r="F18" s="19">
        <f>+F16*F17</f>
        <v>4.6404817457754461</v>
      </c>
      <c r="G18" s="12" t="s">
        <v>154</v>
      </c>
    </row>
    <row r="19" spans="2:14" ht="17.25" x14ac:dyDescent="0.25">
      <c r="I19" s="12"/>
      <c r="J19" s="12"/>
      <c r="K19" s="12"/>
      <c r="L19" s="17" t="s">
        <v>22</v>
      </c>
      <c r="M19" s="20">
        <f>+M7+M8+M9</f>
        <v>0.34421416234887736</v>
      </c>
      <c r="N19" s="12" t="s">
        <v>152</v>
      </c>
    </row>
    <row r="20" spans="2:14" ht="17.25" x14ac:dyDescent="0.25">
      <c r="D20" s="27" t="s">
        <v>22</v>
      </c>
      <c r="E20" s="28"/>
      <c r="F20" s="20">
        <f>+F7+F8+F11+F12</f>
        <v>0.95090090090090074</v>
      </c>
      <c r="G20" s="12" t="s">
        <v>152</v>
      </c>
      <c r="I20" s="12"/>
      <c r="J20" s="12"/>
      <c r="K20" s="12"/>
      <c r="L20" s="17" t="s">
        <v>23</v>
      </c>
      <c r="M20" s="20">
        <f>1/M19</f>
        <v>2.905168088309082</v>
      </c>
      <c r="N20" s="12" t="s">
        <v>153</v>
      </c>
    </row>
    <row r="21" spans="2:14" ht="17.25" x14ac:dyDescent="0.25">
      <c r="D21" s="27" t="s">
        <v>23</v>
      </c>
      <c r="E21" s="28"/>
      <c r="F21" s="20">
        <f>1/F20</f>
        <v>1.0516342965419234</v>
      </c>
      <c r="G21" s="12" t="s">
        <v>153</v>
      </c>
      <c r="I21" s="12"/>
      <c r="J21" s="12"/>
      <c r="K21" s="12"/>
      <c r="L21" s="17" t="s">
        <v>24</v>
      </c>
      <c r="M21" s="12">
        <f>+J7+J8+J9</f>
        <v>0.15000000000000002</v>
      </c>
      <c r="N21" s="12" t="s">
        <v>158</v>
      </c>
    </row>
    <row r="22" spans="2:14" x14ac:dyDescent="0.25">
      <c r="D22" s="12"/>
      <c r="E22" s="17" t="s">
        <v>24</v>
      </c>
      <c r="F22" s="12">
        <f>+C7+C8+C11+C12</f>
        <v>0.35</v>
      </c>
      <c r="G22" s="12" t="s">
        <v>158</v>
      </c>
      <c r="I22" s="12"/>
      <c r="J22" s="12"/>
      <c r="K22" s="12"/>
      <c r="L22" s="18" t="s">
        <v>25</v>
      </c>
      <c r="M22" s="20">
        <f>+M20*M21</f>
        <v>0.43577521324636237</v>
      </c>
      <c r="N22" s="12" t="s">
        <v>156</v>
      </c>
    </row>
    <row r="23" spans="2:14" x14ac:dyDescent="0.25">
      <c r="D23" s="12"/>
      <c r="E23" s="18" t="s">
        <v>25</v>
      </c>
      <c r="F23" s="20">
        <f>+F21*F22</f>
        <v>0.3680720037896732</v>
      </c>
      <c r="G23" s="12" t="s">
        <v>156</v>
      </c>
    </row>
    <row r="25" spans="2:14" ht="17.25" x14ac:dyDescent="0.25">
      <c r="B25" s="21" t="s">
        <v>37</v>
      </c>
      <c r="C25" s="21" t="s">
        <v>150</v>
      </c>
      <c r="D25" s="21" t="s">
        <v>265</v>
      </c>
      <c r="E25" s="21" t="s">
        <v>151</v>
      </c>
      <c r="F25" s="21" t="s">
        <v>266</v>
      </c>
      <c r="G25" s="21"/>
      <c r="I25" s="21" t="s">
        <v>42</v>
      </c>
      <c r="J25" s="21" t="s">
        <v>150</v>
      </c>
      <c r="K25" s="21" t="s">
        <v>265</v>
      </c>
      <c r="L25" s="21" t="s">
        <v>151</v>
      </c>
      <c r="M25" s="21" t="s">
        <v>266</v>
      </c>
      <c r="N25" s="21"/>
    </row>
    <row r="26" spans="2:14" x14ac:dyDescent="0.25">
      <c r="B26" s="12" t="s">
        <v>12</v>
      </c>
      <c r="C26" s="12"/>
      <c r="D26" s="12"/>
      <c r="E26" s="12"/>
      <c r="F26" s="12">
        <v>0.04</v>
      </c>
      <c r="G26" s="12"/>
      <c r="I26" s="12" t="s">
        <v>12</v>
      </c>
      <c r="J26" s="12"/>
      <c r="K26" s="12"/>
      <c r="L26" s="12"/>
      <c r="M26" s="12">
        <v>0.04</v>
      </c>
      <c r="N26" s="12"/>
    </row>
    <row r="27" spans="2:14" x14ac:dyDescent="0.25">
      <c r="B27" s="12" t="s">
        <v>38</v>
      </c>
      <c r="C27" s="12">
        <v>0.02</v>
      </c>
      <c r="D27" s="12">
        <v>1800</v>
      </c>
      <c r="E27" s="12">
        <v>0.9</v>
      </c>
      <c r="F27" s="15">
        <f t="shared" ref="F27:F32" si="2">+C27/E27</f>
        <v>2.2222222222222223E-2</v>
      </c>
      <c r="G27" s="12"/>
      <c r="I27" s="12" t="s">
        <v>43</v>
      </c>
      <c r="J27" s="12">
        <v>1.4999999999999999E-2</v>
      </c>
      <c r="K27" s="12">
        <v>1700</v>
      </c>
      <c r="L27" s="12">
        <v>1.47</v>
      </c>
      <c r="M27" s="15">
        <f t="shared" ref="M27:M32" si="3">+J27/L27</f>
        <v>1.020408163265306E-2</v>
      </c>
      <c r="N27" s="12"/>
    </row>
    <row r="28" spans="2:14" x14ac:dyDescent="0.25">
      <c r="B28" s="12" t="s">
        <v>39</v>
      </c>
      <c r="C28" s="12">
        <v>0.16</v>
      </c>
      <c r="D28" s="12">
        <v>900</v>
      </c>
      <c r="E28" s="12">
        <v>0.56000000000000005</v>
      </c>
      <c r="F28" s="15">
        <f t="shared" si="2"/>
        <v>0.2857142857142857</v>
      </c>
      <c r="G28" s="12"/>
      <c r="I28" s="12" t="s">
        <v>33</v>
      </c>
      <c r="J28" s="12">
        <v>0.02</v>
      </c>
      <c r="K28" s="12">
        <v>2000</v>
      </c>
      <c r="L28" s="12">
        <v>1.4</v>
      </c>
      <c r="M28" s="15">
        <f t="shared" si="3"/>
        <v>1.4285714285714287E-2</v>
      </c>
      <c r="N28" s="12"/>
    </row>
    <row r="29" spans="2:14" x14ac:dyDescent="0.25">
      <c r="B29" s="12" t="s">
        <v>33</v>
      </c>
      <c r="C29" s="12">
        <v>0.02</v>
      </c>
      <c r="D29" s="12">
        <v>2000</v>
      </c>
      <c r="E29" s="12">
        <v>1.4</v>
      </c>
      <c r="F29" s="15">
        <f t="shared" si="2"/>
        <v>1.4285714285714287E-2</v>
      </c>
      <c r="G29" s="12"/>
      <c r="I29" s="16" t="s">
        <v>40</v>
      </c>
      <c r="J29" s="16">
        <v>0.06</v>
      </c>
      <c r="K29" s="16">
        <v>1700</v>
      </c>
      <c r="L29" s="16">
        <v>1.06</v>
      </c>
      <c r="M29" s="15">
        <f t="shared" si="3"/>
        <v>5.6603773584905655E-2</v>
      </c>
      <c r="N29" s="12"/>
    </row>
    <row r="30" spans="2:14" x14ac:dyDescent="0.25">
      <c r="B30" s="16" t="s">
        <v>40</v>
      </c>
      <c r="C30" s="16">
        <v>0.06</v>
      </c>
      <c r="D30" s="16">
        <v>1700</v>
      </c>
      <c r="E30" s="16">
        <v>1.06</v>
      </c>
      <c r="F30" s="15">
        <f t="shared" si="2"/>
        <v>5.6603773584905655E-2</v>
      </c>
      <c r="G30" s="12"/>
      <c r="I30" s="12" t="s">
        <v>33</v>
      </c>
      <c r="J30" s="12">
        <v>0.02</v>
      </c>
      <c r="K30" s="12">
        <v>2000</v>
      </c>
      <c r="L30" s="12">
        <v>1.4</v>
      </c>
      <c r="M30" s="15">
        <f t="shared" si="3"/>
        <v>1.4285714285714287E-2</v>
      </c>
      <c r="N30" s="12"/>
    </row>
    <row r="31" spans="2:14" x14ac:dyDescent="0.25">
      <c r="B31" s="12" t="s">
        <v>33</v>
      </c>
      <c r="C31" s="12">
        <v>0.02</v>
      </c>
      <c r="D31" s="12">
        <v>2000</v>
      </c>
      <c r="E31" s="12">
        <v>1.4</v>
      </c>
      <c r="F31" s="15">
        <f t="shared" si="2"/>
        <v>1.4285714285714287E-2</v>
      </c>
      <c r="G31" s="12"/>
      <c r="I31" s="12" t="s">
        <v>39</v>
      </c>
      <c r="J31" s="12">
        <v>0.16</v>
      </c>
      <c r="K31" s="12">
        <v>900</v>
      </c>
      <c r="L31" s="12">
        <v>0.56000000000000005</v>
      </c>
      <c r="M31" s="15">
        <f t="shared" si="3"/>
        <v>0.2857142857142857</v>
      </c>
      <c r="N31" s="12"/>
    </row>
    <row r="32" spans="2:14" x14ac:dyDescent="0.25">
      <c r="B32" s="12" t="s">
        <v>41</v>
      </c>
      <c r="C32" s="12">
        <v>1.4999999999999999E-2</v>
      </c>
      <c r="D32" s="12">
        <v>1700</v>
      </c>
      <c r="E32" s="12">
        <v>1.47</v>
      </c>
      <c r="F32" s="15">
        <f t="shared" si="2"/>
        <v>1.020408163265306E-2</v>
      </c>
      <c r="G32" s="12"/>
      <c r="I32" s="12" t="s">
        <v>15</v>
      </c>
      <c r="J32" s="12">
        <v>0.02</v>
      </c>
      <c r="K32" s="12">
        <v>1800</v>
      </c>
      <c r="L32" s="12">
        <v>0.9</v>
      </c>
      <c r="M32" s="15">
        <f t="shared" si="3"/>
        <v>2.2222222222222223E-2</v>
      </c>
      <c r="N32" s="12"/>
    </row>
    <row r="33" spans="2:14" x14ac:dyDescent="0.25">
      <c r="B33" s="12" t="s">
        <v>16</v>
      </c>
      <c r="C33" s="12"/>
      <c r="D33" s="12"/>
      <c r="E33" s="12"/>
      <c r="F33" s="12">
        <v>0.25</v>
      </c>
      <c r="G33" s="12"/>
      <c r="I33" s="12" t="s">
        <v>16</v>
      </c>
      <c r="J33" s="12"/>
      <c r="K33" s="12"/>
      <c r="L33" s="12"/>
      <c r="M33" s="12">
        <v>0.25</v>
      </c>
      <c r="N33" s="12"/>
    </row>
    <row r="34" spans="2:14" ht="17.25" x14ac:dyDescent="0.25">
      <c r="B34" s="12"/>
      <c r="C34" s="12"/>
      <c r="D34" s="12"/>
      <c r="E34" s="17" t="s">
        <v>17</v>
      </c>
      <c r="F34" s="15">
        <f>SUM(F26:F33)</f>
        <v>0.69331579172549529</v>
      </c>
      <c r="G34" s="12" t="s">
        <v>152</v>
      </c>
      <c r="I34" s="12"/>
      <c r="J34" s="12"/>
      <c r="K34" s="12"/>
      <c r="L34" s="17" t="s">
        <v>17</v>
      </c>
      <c r="M34" s="15">
        <f>SUM(M26:M33)</f>
        <v>0.69331579172549518</v>
      </c>
      <c r="N34" s="12" t="s">
        <v>152</v>
      </c>
    </row>
    <row r="35" spans="2:14" ht="17.25" x14ac:dyDescent="0.25">
      <c r="B35" s="12"/>
      <c r="C35" s="12"/>
      <c r="D35" s="12"/>
      <c r="E35" s="18" t="s">
        <v>18</v>
      </c>
      <c r="F35" s="15">
        <f>1/F34</f>
        <v>1.4423441841866056</v>
      </c>
      <c r="G35" s="12" t="s">
        <v>153</v>
      </c>
      <c r="I35" s="12"/>
      <c r="J35" s="12"/>
      <c r="K35" s="12"/>
      <c r="L35" s="18" t="s">
        <v>18</v>
      </c>
      <c r="M35" s="15">
        <f>1/M34</f>
        <v>1.4423441841866058</v>
      </c>
      <c r="N35" s="12" t="s">
        <v>153</v>
      </c>
    </row>
    <row r="36" spans="2:14" ht="17.25" x14ac:dyDescent="0.25">
      <c r="B36" s="12"/>
      <c r="C36" s="12"/>
      <c r="D36" s="12"/>
      <c r="E36" s="18" t="s">
        <v>20</v>
      </c>
      <c r="F36" s="19">
        <f>Input!C29</f>
        <v>35</v>
      </c>
      <c r="G36" s="12" t="s">
        <v>155</v>
      </c>
      <c r="I36" s="12"/>
      <c r="J36" s="12"/>
      <c r="K36" s="12"/>
      <c r="L36" s="18" t="s">
        <v>20</v>
      </c>
      <c r="M36" s="19">
        <f>Input!C30</f>
        <v>35</v>
      </c>
      <c r="N36" s="12" t="s">
        <v>155</v>
      </c>
    </row>
    <row r="37" spans="2:14" ht="18" x14ac:dyDescent="0.35">
      <c r="B37" s="12"/>
      <c r="C37" s="12"/>
      <c r="D37" s="12"/>
      <c r="E37" s="18" t="s">
        <v>21</v>
      </c>
      <c r="F37" s="19">
        <f>+F35*F36</f>
        <v>50.482046446531193</v>
      </c>
      <c r="G37" s="12" t="s">
        <v>154</v>
      </c>
      <c r="I37" s="12"/>
      <c r="J37" s="12"/>
      <c r="K37" s="12"/>
      <c r="L37" s="18" t="s">
        <v>21</v>
      </c>
      <c r="M37" s="19">
        <f>+M35*M36</f>
        <v>50.4820464465312</v>
      </c>
      <c r="N37" s="12" t="s">
        <v>154</v>
      </c>
    </row>
    <row r="39" spans="2:14" ht="17.25" x14ac:dyDescent="0.25">
      <c r="E39" s="24" t="s">
        <v>22</v>
      </c>
      <c r="F39" s="20">
        <f>+F27+F28+F31+F32</f>
        <v>0.33242630385487526</v>
      </c>
      <c r="G39" s="12" t="s">
        <v>152</v>
      </c>
      <c r="K39" s="50" t="s">
        <v>22</v>
      </c>
      <c r="L39" s="50"/>
      <c r="M39" s="20">
        <f>+M32+M31+M30+M27</f>
        <v>0.33242630385487526</v>
      </c>
      <c r="N39" s="12" t="s">
        <v>152</v>
      </c>
    </row>
    <row r="40" spans="2:14" ht="17.25" x14ac:dyDescent="0.25">
      <c r="E40" s="24" t="s">
        <v>23</v>
      </c>
      <c r="F40" s="20">
        <f>1/F39</f>
        <v>3.0081855388813099</v>
      </c>
      <c r="G40" s="12" t="s">
        <v>153</v>
      </c>
      <c r="K40" s="50" t="s">
        <v>23</v>
      </c>
      <c r="L40" s="50"/>
      <c r="M40" s="20">
        <f>1/M39</f>
        <v>3.0081855388813099</v>
      </c>
      <c r="N40" s="12" t="s">
        <v>153</v>
      </c>
    </row>
    <row r="41" spans="2:14" x14ac:dyDescent="0.25">
      <c r="D41" s="6"/>
      <c r="E41" s="26" t="s">
        <v>24</v>
      </c>
      <c r="F41" s="12">
        <f>+C27+C28+C31+C32</f>
        <v>0.21499999999999997</v>
      </c>
      <c r="G41" s="12" t="s">
        <v>158</v>
      </c>
      <c r="K41" s="12"/>
      <c r="L41" s="17" t="s">
        <v>24</v>
      </c>
      <c r="M41" s="12">
        <f>+J32+J31+J30+J27</f>
        <v>0.21499999999999997</v>
      </c>
      <c r="N41" s="12" t="s">
        <v>158</v>
      </c>
    </row>
    <row r="42" spans="2:14" x14ac:dyDescent="0.25">
      <c r="D42" s="6"/>
      <c r="E42" s="25" t="s">
        <v>268</v>
      </c>
      <c r="F42" s="20">
        <f>+F40*F41</f>
        <v>0.64675989085948149</v>
      </c>
      <c r="G42" s="12" t="s">
        <v>156</v>
      </c>
      <c r="K42" s="12"/>
      <c r="L42" s="18" t="s">
        <v>25</v>
      </c>
      <c r="M42" s="20">
        <f>+M40*M41</f>
        <v>0.64675989085948149</v>
      </c>
      <c r="N42" s="12" t="s">
        <v>156</v>
      </c>
    </row>
    <row r="46" spans="2:14" ht="17.25" x14ac:dyDescent="0.25">
      <c r="I46" s="21" t="s">
        <v>61</v>
      </c>
      <c r="J46" s="21" t="s">
        <v>150</v>
      </c>
      <c r="K46" s="21" t="s">
        <v>265</v>
      </c>
      <c r="L46" s="21" t="s">
        <v>151</v>
      </c>
      <c r="M46" s="21" t="s">
        <v>266</v>
      </c>
      <c r="N46" s="21"/>
    </row>
    <row r="47" spans="2:14" x14ac:dyDescent="0.25">
      <c r="I47" s="12" t="s">
        <v>12</v>
      </c>
      <c r="J47" s="12"/>
      <c r="K47" s="12"/>
      <c r="L47" s="12"/>
      <c r="M47" s="12">
        <v>0.04</v>
      </c>
      <c r="N47" s="12"/>
    </row>
    <row r="48" spans="2:14" x14ac:dyDescent="0.25">
      <c r="I48" s="12" t="s">
        <v>62</v>
      </c>
      <c r="J48" s="12">
        <v>0.01</v>
      </c>
      <c r="K48" s="12">
        <v>1300</v>
      </c>
      <c r="L48" s="12">
        <v>0.26</v>
      </c>
      <c r="M48" s="15">
        <f t="shared" ref="M48:M53" si="4">+J48/L48</f>
        <v>3.8461538461538464E-2</v>
      </c>
      <c r="N48" s="12"/>
    </row>
    <row r="49" spans="9:14" x14ac:dyDescent="0.25">
      <c r="I49" s="12" t="s">
        <v>63</v>
      </c>
      <c r="J49" s="12">
        <v>0.05</v>
      </c>
      <c r="K49" s="12">
        <v>1</v>
      </c>
      <c r="L49" s="12">
        <v>0.35</v>
      </c>
      <c r="M49" s="15">
        <f t="shared" si="4"/>
        <v>0.14285714285714288</v>
      </c>
      <c r="N49" s="12"/>
    </row>
    <row r="50" spans="9:14" x14ac:dyDescent="0.25">
      <c r="I50" s="16" t="s">
        <v>64</v>
      </c>
      <c r="J50" s="16">
        <v>1E-3</v>
      </c>
      <c r="K50" s="16">
        <v>200</v>
      </c>
      <c r="L50" s="16">
        <v>10000</v>
      </c>
      <c r="M50" s="15">
        <f t="shared" si="4"/>
        <v>9.9999999999999995E-8</v>
      </c>
      <c r="N50" s="12"/>
    </row>
    <row r="51" spans="9:14" x14ac:dyDescent="0.25">
      <c r="I51" s="12" t="s">
        <v>65</v>
      </c>
      <c r="J51" s="12">
        <v>0.06</v>
      </c>
      <c r="K51" s="12">
        <v>30</v>
      </c>
      <c r="L51" s="12">
        <v>3.5000000000000003E-2</v>
      </c>
      <c r="M51" s="15">
        <f t="shared" si="4"/>
        <v>1.714285714285714</v>
      </c>
      <c r="N51" s="12"/>
    </row>
    <row r="52" spans="9:14" x14ac:dyDescent="0.25">
      <c r="I52" s="12" t="s">
        <v>66</v>
      </c>
      <c r="J52" s="12">
        <v>2E-3</v>
      </c>
      <c r="K52" s="12">
        <v>1250</v>
      </c>
      <c r="L52" s="12">
        <v>10000</v>
      </c>
      <c r="M52" s="15">
        <f t="shared" si="4"/>
        <v>1.9999999999999999E-7</v>
      </c>
      <c r="N52" s="12"/>
    </row>
    <row r="53" spans="9:14" x14ac:dyDescent="0.25">
      <c r="I53" s="12" t="s">
        <v>67</v>
      </c>
      <c r="J53" s="12">
        <v>2.5000000000000001E-2</v>
      </c>
      <c r="K53" s="12">
        <v>450</v>
      </c>
      <c r="L53" s="12">
        <v>0.12</v>
      </c>
      <c r="M53" s="15">
        <f t="shared" si="4"/>
        <v>0.20833333333333334</v>
      </c>
      <c r="N53" s="12"/>
    </row>
    <row r="54" spans="9:14" x14ac:dyDescent="0.25">
      <c r="I54" s="12" t="s">
        <v>16</v>
      </c>
      <c r="J54" s="12"/>
      <c r="K54" s="12"/>
      <c r="L54" s="12"/>
      <c r="M54" s="12">
        <v>0.25</v>
      </c>
      <c r="N54" s="12"/>
    </row>
    <row r="55" spans="9:14" ht="17.25" x14ac:dyDescent="0.25">
      <c r="I55" s="12"/>
      <c r="J55" s="12"/>
      <c r="K55" s="12"/>
      <c r="L55" s="17" t="s">
        <v>17</v>
      </c>
      <c r="M55" s="15">
        <f>SUM(M47:M54)</f>
        <v>2.3939380289377286</v>
      </c>
      <c r="N55" s="12" t="s">
        <v>152</v>
      </c>
    </row>
    <row r="56" spans="9:14" ht="17.25" x14ac:dyDescent="0.25">
      <c r="I56" s="12"/>
      <c r="J56" s="12"/>
      <c r="K56" s="12"/>
      <c r="L56" s="18" t="s">
        <v>18</v>
      </c>
      <c r="M56" s="15">
        <f>1/M55</f>
        <v>0.4177217571683482</v>
      </c>
      <c r="N56" s="12" t="s">
        <v>153</v>
      </c>
    </row>
    <row r="57" spans="9:14" ht="17.25" x14ac:dyDescent="0.25">
      <c r="I57" s="12"/>
      <c r="J57" s="12"/>
      <c r="K57" s="12"/>
      <c r="L57" s="18" t="s">
        <v>20</v>
      </c>
      <c r="M57" s="19" t="e">
        <f>Input!#REF!</f>
        <v>#REF!</v>
      </c>
      <c r="N57" s="12" t="s">
        <v>155</v>
      </c>
    </row>
    <row r="58" spans="9:14" ht="18" x14ac:dyDescent="0.35">
      <c r="I58" s="12"/>
      <c r="J58" s="12"/>
      <c r="K58" s="12"/>
      <c r="L58" s="18" t="s">
        <v>21</v>
      </c>
      <c r="M58" s="19" t="e">
        <f>+M56*M57</f>
        <v>#REF!</v>
      </c>
      <c r="N58" s="12" t="s">
        <v>154</v>
      </c>
    </row>
    <row r="60" spans="9:14" ht="17.25" x14ac:dyDescent="0.25">
      <c r="K60" s="50" t="s">
        <v>22</v>
      </c>
      <c r="L60" s="50"/>
      <c r="M60" s="20">
        <f>+M53+M52+M51+M48</f>
        <v>1.9610807860805859</v>
      </c>
      <c r="N60" s="12" t="s">
        <v>152</v>
      </c>
    </row>
    <row r="61" spans="9:14" ht="17.25" x14ac:dyDescent="0.25">
      <c r="K61" s="50" t="s">
        <v>23</v>
      </c>
      <c r="L61" s="50"/>
      <c r="M61" s="20">
        <f>1/M60</f>
        <v>0.50992289919815037</v>
      </c>
      <c r="N61" s="12" t="s">
        <v>153</v>
      </c>
    </row>
    <row r="62" spans="9:14" x14ac:dyDescent="0.25">
      <c r="K62" s="12"/>
      <c r="L62" s="17" t="s">
        <v>24</v>
      </c>
      <c r="M62" s="12">
        <f>+J53+J52+J51+J48</f>
        <v>9.6999999999999989E-2</v>
      </c>
      <c r="N62" s="12" t="s">
        <v>158</v>
      </c>
    </row>
    <row r="63" spans="9:14" x14ac:dyDescent="0.25">
      <c r="K63" s="12"/>
      <c r="L63" s="18" t="s">
        <v>25</v>
      </c>
      <c r="M63" s="20">
        <f>+M61*M62</f>
        <v>4.9462521222220578E-2</v>
      </c>
      <c r="N63" s="12" t="s">
        <v>156</v>
      </c>
    </row>
    <row r="66" spans="2:14" ht="17.25" x14ac:dyDescent="0.25">
      <c r="B66" s="21" t="s">
        <v>26</v>
      </c>
      <c r="C66" s="21" t="s">
        <v>150</v>
      </c>
      <c r="D66" s="21" t="s">
        <v>265</v>
      </c>
      <c r="E66" s="21" t="s">
        <v>151</v>
      </c>
      <c r="F66" s="21" t="s">
        <v>266</v>
      </c>
      <c r="G66" s="21"/>
      <c r="I66" s="21" t="s">
        <v>27</v>
      </c>
      <c r="J66" s="21" t="s">
        <v>150</v>
      </c>
      <c r="K66" s="21" t="s">
        <v>265</v>
      </c>
      <c r="L66" s="21" t="s">
        <v>151</v>
      </c>
      <c r="M66" s="21" t="s">
        <v>266</v>
      </c>
      <c r="N66" s="22"/>
    </row>
    <row r="67" spans="2:14" x14ac:dyDescent="0.25">
      <c r="B67" s="12" t="s">
        <v>12</v>
      </c>
      <c r="C67" s="12"/>
      <c r="D67" s="12"/>
      <c r="E67" s="12"/>
      <c r="F67" s="12">
        <v>0.04</v>
      </c>
      <c r="G67" s="12"/>
      <c r="I67" s="12" t="s">
        <v>12</v>
      </c>
      <c r="J67" s="12"/>
      <c r="K67" s="12"/>
      <c r="L67" s="12"/>
      <c r="M67" s="12">
        <v>0.04</v>
      </c>
      <c r="N67" s="12"/>
    </row>
    <row r="68" spans="2:14" x14ac:dyDescent="0.25">
      <c r="B68" s="12" t="s">
        <v>13</v>
      </c>
      <c r="C68" s="12">
        <v>1.4999999999999999E-2</v>
      </c>
      <c r="D68" s="12">
        <v>1800</v>
      </c>
      <c r="E68" s="12">
        <v>0.9</v>
      </c>
      <c r="F68" s="15">
        <f>+C68/E68</f>
        <v>1.6666666666666666E-2</v>
      </c>
      <c r="G68" s="12"/>
      <c r="I68" s="12" t="s">
        <v>13</v>
      </c>
      <c r="J68" s="12">
        <v>0.03</v>
      </c>
      <c r="K68" s="12">
        <v>1800</v>
      </c>
      <c r="L68" s="12">
        <v>0.9</v>
      </c>
      <c r="M68" s="15">
        <f>+J68/L68</f>
        <v>3.3333333333333333E-2</v>
      </c>
      <c r="N68" s="12"/>
    </row>
    <row r="69" spans="2:14" x14ac:dyDescent="0.25">
      <c r="B69" s="12" t="s">
        <v>14</v>
      </c>
      <c r="C69" s="12">
        <f>IF(Input!B48="y",0.1+Input!D48,0.1)</f>
        <v>0.1</v>
      </c>
      <c r="D69" s="12">
        <v>37</v>
      </c>
      <c r="E69" s="12">
        <v>3.4000000000000002E-2</v>
      </c>
      <c r="F69" s="15">
        <f t="shared" ref="F69:F70" si="5">+C69/E69</f>
        <v>2.9411764705882351</v>
      </c>
      <c r="G69" s="12"/>
      <c r="I69" s="12" t="s">
        <v>14</v>
      </c>
      <c r="J69" s="12">
        <f>IF(Input!B48="y",0.1+Input!D48,0.1)</f>
        <v>0.1</v>
      </c>
      <c r="K69" s="12">
        <v>30</v>
      </c>
      <c r="L69" s="12">
        <v>3.4000000000000002E-2</v>
      </c>
      <c r="M69" s="15">
        <f t="shared" ref="M69:M70" si="6">+J69/L69</f>
        <v>2.9411764705882351</v>
      </c>
      <c r="N69" s="12"/>
    </row>
    <row r="70" spans="2:14" x14ac:dyDescent="0.25">
      <c r="B70" s="12" t="s">
        <v>27</v>
      </c>
      <c r="C70" s="12">
        <v>0.23499999999999999</v>
      </c>
      <c r="D70" s="12">
        <v>2400</v>
      </c>
      <c r="E70" s="12">
        <v>1.91</v>
      </c>
      <c r="F70" s="15">
        <f t="shared" si="5"/>
        <v>0.12303664921465969</v>
      </c>
      <c r="G70" s="12"/>
      <c r="I70" s="12" t="s">
        <v>108</v>
      </c>
      <c r="J70" s="12">
        <v>0.24</v>
      </c>
      <c r="K70" s="12">
        <v>2400</v>
      </c>
      <c r="L70" s="12">
        <v>1.91</v>
      </c>
      <c r="M70" s="15">
        <f t="shared" si="6"/>
        <v>0.1256544502617801</v>
      </c>
      <c r="N70" s="12"/>
    </row>
    <row r="71" spans="2:14" x14ac:dyDescent="0.25">
      <c r="B71" s="12" t="s">
        <v>16</v>
      </c>
      <c r="C71" s="12"/>
      <c r="D71" s="12"/>
      <c r="E71" s="12"/>
      <c r="F71" s="12">
        <v>0.13</v>
      </c>
      <c r="G71" s="12"/>
      <c r="I71" s="12" t="s">
        <v>15</v>
      </c>
      <c r="J71" s="12">
        <v>0.02</v>
      </c>
      <c r="K71" s="12">
        <v>1400</v>
      </c>
      <c r="L71" s="12">
        <v>0.7</v>
      </c>
      <c r="M71" s="15">
        <f>+J71/L71</f>
        <v>2.8571428571428574E-2</v>
      </c>
      <c r="N71" s="12"/>
    </row>
    <row r="72" spans="2:14" x14ac:dyDescent="0.25">
      <c r="B72" s="12"/>
      <c r="C72" s="12"/>
      <c r="D72" s="12"/>
      <c r="E72" s="17" t="s">
        <v>17</v>
      </c>
      <c r="F72" s="15">
        <f>SUM(F67:F71)</f>
        <v>3.2508797864695613</v>
      </c>
      <c r="G72" s="12"/>
      <c r="I72" s="12" t="s">
        <v>16</v>
      </c>
      <c r="J72" s="12"/>
      <c r="K72" s="12"/>
      <c r="L72" s="12"/>
      <c r="M72" s="12">
        <v>0.25</v>
      </c>
      <c r="N72" s="12"/>
    </row>
    <row r="73" spans="2:14" x14ac:dyDescent="0.25">
      <c r="B73" s="12"/>
      <c r="C73" s="12"/>
      <c r="D73" s="12"/>
      <c r="E73" s="18" t="s">
        <v>19</v>
      </c>
      <c r="F73" s="15">
        <f>1/F72</f>
        <v>0.30760903684045321</v>
      </c>
      <c r="G73" s="12"/>
      <c r="I73" s="12"/>
      <c r="J73" s="12"/>
      <c r="K73" s="12"/>
      <c r="L73" s="17" t="s">
        <v>17</v>
      </c>
      <c r="M73" s="15">
        <f>SUM(M67:M72)</f>
        <v>3.418735682754777</v>
      </c>
      <c r="N73" s="12"/>
    </row>
    <row r="74" spans="2:14" x14ac:dyDescent="0.25">
      <c r="I74" s="12"/>
      <c r="J74" s="12"/>
      <c r="K74" s="12"/>
      <c r="L74" s="18" t="s">
        <v>19</v>
      </c>
      <c r="M74" s="15">
        <f>1/M73</f>
        <v>0.29250579535713384</v>
      </c>
      <c r="N74" s="12"/>
    </row>
    <row r="75" spans="2:14" ht="17.25" x14ac:dyDescent="0.25">
      <c r="D75" s="12"/>
      <c r="E75" s="17" t="s">
        <v>22</v>
      </c>
      <c r="F75" s="20">
        <f>+F68+F70</f>
        <v>0.13970331588132637</v>
      </c>
      <c r="G75" s="12" t="s">
        <v>152</v>
      </c>
    </row>
    <row r="76" spans="2:14" ht="17.25" x14ac:dyDescent="0.25">
      <c r="D76" s="12"/>
      <c r="E76" s="17" t="s">
        <v>23</v>
      </c>
      <c r="F76" s="20">
        <f>1/F75</f>
        <v>7.158026233603997</v>
      </c>
      <c r="G76" s="12" t="s">
        <v>153</v>
      </c>
      <c r="K76" s="12"/>
      <c r="L76" s="17" t="s">
        <v>22</v>
      </c>
      <c r="M76" s="20">
        <f>+M68+M71+M69+M70</f>
        <v>3.1287356827547774</v>
      </c>
      <c r="N76" s="12" t="s">
        <v>152</v>
      </c>
    </row>
    <row r="77" spans="2:14" ht="17.25" x14ac:dyDescent="0.25">
      <c r="D77" s="12"/>
      <c r="E77" s="17" t="s">
        <v>24</v>
      </c>
      <c r="F77" s="12">
        <f>+C68+C70</f>
        <v>0.25</v>
      </c>
      <c r="G77" s="12" t="s">
        <v>158</v>
      </c>
      <c r="K77" s="12"/>
      <c r="L77" s="17" t="s">
        <v>23</v>
      </c>
      <c r="M77" s="20">
        <f>1/M76</f>
        <v>0.31961792282802354</v>
      </c>
      <c r="N77" s="12" t="s">
        <v>153</v>
      </c>
    </row>
    <row r="78" spans="2:14" x14ac:dyDescent="0.25">
      <c r="D78" s="12"/>
      <c r="E78" s="18" t="s">
        <v>28</v>
      </c>
      <c r="F78" s="20">
        <f>+F76*F77</f>
        <v>1.7895065584009993</v>
      </c>
      <c r="G78" s="12" t="s">
        <v>156</v>
      </c>
      <c r="K78" s="12"/>
      <c r="L78" s="17" t="s">
        <v>24</v>
      </c>
      <c r="M78" s="12">
        <f>+J68+J71</f>
        <v>0.05</v>
      </c>
      <c r="N78" s="12" t="s">
        <v>158</v>
      </c>
    </row>
    <row r="79" spans="2:14" x14ac:dyDescent="0.25">
      <c r="E79" s="1"/>
      <c r="F79" s="2"/>
      <c r="K79" s="12"/>
      <c r="L79" s="18" t="s">
        <v>28</v>
      </c>
      <c r="M79" s="20">
        <f>+M77*M78</f>
        <v>1.5980896141401177E-2</v>
      </c>
      <c r="N79" s="12" t="s">
        <v>156</v>
      </c>
    </row>
    <row r="81" spans="2:10" x14ac:dyDescent="0.25">
      <c r="B81" s="44" t="s">
        <v>270</v>
      </c>
      <c r="C81" s="44"/>
      <c r="I81" s="38" t="s">
        <v>269</v>
      </c>
      <c r="J81" s="40"/>
    </row>
    <row r="82" spans="2:10" x14ac:dyDescent="0.25">
      <c r="B82" s="12" t="s">
        <v>29</v>
      </c>
      <c r="C82" s="20">
        <f>+F73/F16</f>
        <v>1.2886419996420304</v>
      </c>
      <c r="I82" s="12" t="s">
        <v>29</v>
      </c>
      <c r="J82" s="20">
        <f>+M74/F16</f>
        <v>1.225371194902195</v>
      </c>
    </row>
    <row r="83" spans="2:10" x14ac:dyDescent="0.25">
      <c r="B83" s="12" t="s">
        <v>163</v>
      </c>
      <c r="C83" s="20">
        <f>0.112+0.428*C82-0.127/F23</f>
        <v>0.318497591805605</v>
      </c>
      <c r="I83" s="12" t="s">
        <v>247</v>
      </c>
      <c r="J83" s="20">
        <f>F23</f>
        <v>0.3680720037896732</v>
      </c>
    </row>
    <row r="84" spans="2:10" x14ac:dyDescent="0.25">
      <c r="B84" s="12"/>
      <c r="C84" s="12"/>
      <c r="I84" s="12" t="s">
        <v>163</v>
      </c>
      <c r="J84" s="20">
        <f>-0.12+0.266*LN(J82)+0.395*J83</f>
        <v>7.9451296112219946E-2</v>
      </c>
    </row>
    <row r="85" spans="2:10" x14ac:dyDescent="0.25">
      <c r="B85" s="12" t="s">
        <v>164</v>
      </c>
      <c r="C85" s="20">
        <f>0.29+1.015*C82-0.219/F23</f>
        <v>1.0029793516443828</v>
      </c>
      <c r="I85" s="12"/>
      <c r="J85" s="12"/>
    </row>
    <row r="86" spans="2:10" x14ac:dyDescent="0.25">
      <c r="I86" s="12" t="s">
        <v>164</v>
      </c>
      <c r="J86" s="20">
        <f>0.088+0.231*LN(J82)+0.515*J83</f>
        <v>0.3245064030649677</v>
      </c>
    </row>
    <row r="88" spans="2:10" x14ac:dyDescent="0.25">
      <c r="B88" s="38" t="s">
        <v>271</v>
      </c>
      <c r="C88" s="40"/>
      <c r="D88" s="4"/>
      <c r="E88" s="4"/>
      <c r="F88" s="4"/>
      <c r="G88" s="4"/>
      <c r="J88" s="4"/>
    </row>
    <row r="89" spans="2:10" x14ac:dyDescent="0.25">
      <c r="B89" s="12" t="s">
        <v>109</v>
      </c>
      <c r="C89" s="20">
        <f>J7+J8+J9</f>
        <v>0.15000000000000002</v>
      </c>
      <c r="D89" s="4"/>
      <c r="E89" s="4"/>
      <c r="F89" s="4"/>
      <c r="G89" s="4"/>
      <c r="J89" s="10"/>
    </row>
    <row r="90" spans="2:10" x14ac:dyDescent="0.25">
      <c r="B90" s="12" t="s">
        <v>110</v>
      </c>
      <c r="C90" s="15">
        <f>F16</f>
        <v>0.23870790873330483</v>
      </c>
      <c r="D90" s="4"/>
      <c r="E90" s="4"/>
      <c r="F90" s="7"/>
      <c r="G90" s="4"/>
      <c r="I90" s="4"/>
      <c r="J90" s="10"/>
    </row>
    <row r="91" spans="2:10" x14ac:dyDescent="0.25">
      <c r="B91" s="12" t="s">
        <v>163</v>
      </c>
      <c r="C91" s="20">
        <v>0</v>
      </c>
      <c r="D91" s="4"/>
      <c r="E91" s="4"/>
      <c r="F91" s="7"/>
      <c r="G91" s="4"/>
      <c r="I91" s="4"/>
      <c r="J91" s="4"/>
    </row>
    <row r="92" spans="2:10" x14ac:dyDescent="0.25">
      <c r="B92" s="12"/>
      <c r="C92" s="12"/>
      <c r="D92" s="4"/>
      <c r="E92" s="4"/>
      <c r="F92" s="7"/>
      <c r="G92" s="4"/>
      <c r="I92" s="4"/>
      <c r="J92" s="10"/>
    </row>
    <row r="93" spans="2:10" x14ac:dyDescent="0.25">
      <c r="B93" s="12" t="s">
        <v>164</v>
      </c>
      <c r="C93" s="20">
        <f>(C89+0.03)*C90</f>
        <v>4.2967423571994873E-2</v>
      </c>
      <c r="D93" s="4"/>
      <c r="E93" s="4"/>
      <c r="F93" s="4"/>
      <c r="G93" s="4"/>
    </row>
    <row r="94" spans="2:10" x14ac:dyDescent="0.25">
      <c r="D94" s="4"/>
      <c r="E94" s="8"/>
      <c r="F94" s="7"/>
      <c r="G94" s="4"/>
    </row>
    <row r="95" spans="2:10" x14ac:dyDescent="0.25">
      <c r="D95" s="4"/>
      <c r="E95" s="9"/>
      <c r="F95" s="7"/>
      <c r="G95" s="4"/>
    </row>
    <row r="96" spans="2:10" x14ac:dyDescent="0.25">
      <c r="D96" s="4"/>
      <c r="E96" s="4"/>
      <c r="F96" s="4"/>
      <c r="G96" s="4"/>
    </row>
    <row r="97" spans="2:7" ht="18" x14ac:dyDescent="0.35">
      <c r="B97" s="38" t="s">
        <v>267</v>
      </c>
      <c r="C97" s="40"/>
      <c r="D97" s="49"/>
      <c r="E97" s="49"/>
      <c r="F97" s="10"/>
      <c r="G97" s="4"/>
    </row>
    <row r="98" spans="2:7" ht="18.75" x14ac:dyDescent="0.35">
      <c r="B98" s="12" t="s">
        <v>159</v>
      </c>
      <c r="C98" s="12">
        <f>Input!D15</f>
        <v>15</v>
      </c>
      <c r="D98" s="49"/>
      <c r="E98" s="49"/>
      <c r="F98" s="10"/>
      <c r="G98" s="4"/>
    </row>
    <row r="99" spans="2:7" ht="18.75" x14ac:dyDescent="0.35">
      <c r="B99" s="12" t="s">
        <v>160</v>
      </c>
      <c r="C99" s="12">
        <f>Input!D14+Input!D15</f>
        <v>24</v>
      </c>
      <c r="D99" s="4"/>
      <c r="E99" s="8"/>
      <c r="F99" s="4"/>
      <c r="G99" s="4"/>
    </row>
    <row r="100" spans="2:7" ht="18" x14ac:dyDescent="0.35">
      <c r="B100" s="12" t="s">
        <v>161</v>
      </c>
      <c r="C100" s="20">
        <f>+M15*C98</f>
        <v>17.768003273322421</v>
      </c>
      <c r="D100" s="4"/>
      <c r="E100" s="9"/>
      <c r="F100" s="10"/>
      <c r="G100" s="4"/>
    </row>
    <row r="101" spans="2:7" ht="18" x14ac:dyDescent="0.35">
      <c r="B101" s="12" t="s">
        <v>162</v>
      </c>
      <c r="C101" s="20">
        <f>+F16*C99</f>
        <v>5.7289898095993159</v>
      </c>
    </row>
    <row r="102" spans="2:7" ht="18" x14ac:dyDescent="0.35">
      <c r="B102" s="12" t="s">
        <v>30</v>
      </c>
      <c r="C102" s="20">
        <f>+C101/(C100+C101)</f>
        <v>0.24381799787664338</v>
      </c>
    </row>
  </sheetData>
  <mergeCells count="10">
    <mergeCell ref="K60:L60"/>
    <mergeCell ref="K61:L61"/>
    <mergeCell ref="K39:L39"/>
    <mergeCell ref="K40:L40"/>
    <mergeCell ref="I81:J81"/>
    <mergeCell ref="B97:C97"/>
    <mergeCell ref="D97:E97"/>
    <mergeCell ref="D98:E98"/>
    <mergeCell ref="B81:C81"/>
    <mergeCell ref="B88:C88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6"/>
  <sheetViews>
    <sheetView topLeftCell="A19" zoomScaleNormal="100" workbookViewId="0">
      <selection activeCell="H17" sqref="H17"/>
    </sheetView>
  </sheetViews>
  <sheetFormatPr defaultRowHeight="15" x14ac:dyDescent="0.25"/>
  <cols>
    <col min="2" max="2" width="37.140625" bestFit="1" customWidth="1"/>
    <col min="3" max="3" width="10.28515625" bestFit="1" customWidth="1"/>
    <col min="4" max="4" width="19.28515625" bestFit="1" customWidth="1"/>
    <col min="6" max="6" width="19.42578125" bestFit="1" customWidth="1"/>
    <col min="7" max="7" width="18.140625" bestFit="1" customWidth="1"/>
    <col min="9" max="9" width="18.140625" bestFit="1" customWidth="1"/>
  </cols>
  <sheetData>
    <row r="3" spans="2:10" ht="17.25" x14ac:dyDescent="0.25">
      <c r="D3" s="13" t="s">
        <v>259</v>
      </c>
      <c r="F3" s="13" t="s">
        <v>273</v>
      </c>
    </row>
    <row r="4" spans="2:10" x14ac:dyDescent="0.25">
      <c r="D4" s="12">
        <f>IF(Input!B51="y",Input!D51,0.89)</f>
        <v>0.89</v>
      </c>
      <c r="F4" s="12">
        <f>'Building windows'!D4*5.67*10^(-8)*((Input!C38+273)^4-(Input!E38+273)^4)/(Input!F38)</f>
        <v>4.1266661851361519</v>
      </c>
    </row>
    <row r="8" spans="2:10" x14ac:dyDescent="0.25">
      <c r="B8" s="38" t="s">
        <v>53</v>
      </c>
      <c r="C8" s="39"/>
      <c r="D8" s="40"/>
      <c r="E8" s="29"/>
      <c r="G8" s="38" t="s">
        <v>72</v>
      </c>
      <c r="H8" s="39"/>
      <c r="I8" s="40"/>
      <c r="J8" s="30"/>
    </row>
    <row r="9" spans="2:10" ht="17.25" x14ac:dyDescent="0.25">
      <c r="B9" s="12" t="s">
        <v>12</v>
      </c>
      <c r="C9" s="32">
        <v>0.04</v>
      </c>
      <c r="D9" s="12" t="s">
        <v>168</v>
      </c>
      <c r="E9" s="4"/>
      <c r="G9" s="12" t="s">
        <v>12</v>
      </c>
      <c r="H9" s="12">
        <v>0.04</v>
      </c>
      <c r="I9" s="32" t="s">
        <v>168</v>
      </c>
      <c r="J9" s="31"/>
    </row>
    <row r="10" spans="2:10" x14ac:dyDescent="0.25">
      <c r="B10" s="12" t="s">
        <v>2</v>
      </c>
      <c r="C10" s="33">
        <f>Input!C23</f>
        <v>2.4</v>
      </c>
      <c r="D10" s="12" t="s">
        <v>157</v>
      </c>
      <c r="E10" s="4"/>
      <c r="G10" s="12" t="s">
        <v>2</v>
      </c>
      <c r="H10" s="15">
        <f>Input!C24</f>
        <v>2.4</v>
      </c>
      <c r="I10" s="32" t="s">
        <v>157</v>
      </c>
      <c r="J10" s="31"/>
    </row>
    <row r="11" spans="2:10" x14ac:dyDescent="0.25">
      <c r="B11" s="12" t="s">
        <v>3</v>
      </c>
      <c r="C11" s="33">
        <f>Input!D23</f>
        <v>1.6</v>
      </c>
      <c r="D11" s="12" t="s">
        <v>157</v>
      </c>
      <c r="E11" s="4"/>
      <c r="G11" s="12" t="s">
        <v>3</v>
      </c>
      <c r="H11" s="15">
        <f>Input!D24</f>
        <v>2.1</v>
      </c>
      <c r="I11" s="32" t="s">
        <v>157</v>
      </c>
      <c r="J11" s="31"/>
    </row>
    <row r="12" spans="2:10" x14ac:dyDescent="0.25">
      <c r="B12" s="12" t="s">
        <v>44</v>
      </c>
      <c r="C12" s="32">
        <v>0.08</v>
      </c>
      <c r="D12" s="12" t="s">
        <v>157</v>
      </c>
      <c r="E12" s="4"/>
      <c r="G12" s="12" t="s">
        <v>54</v>
      </c>
      <c r="H12" s="12">
        <v>0.08</v>
      </c>
      <c r="I12" s="32" t="s">
        <v>157</v>
      </c>
      <c r="J12" s="31"/>
    </row>
    <row r="13" spans="2:10" ht="17.25" x14ac:dyDescent="0.25">
      <c r="B13" s="12" t="s">
        <v>45</v>
      </c>
      <c r="C13" s="33">
        <f>+C10*C11-C14</f>
        <v>3.1103999999999998</v>
      </c>
      <c r="D13" s="12" t="s">
        <v>170</v>
      </c>
      <c r="E13" s="4"/>
      <c r="G13" s="12" t="s">
        <v>45</v>
      </c>
      <c r="H13" s="15">
        <f>+H10*H11-H14</f>
        <v>4.1904000000000003</v>
      </c>
      <c r="I13" s="32" t="s">
        <v>170</v>
      </c>
      <c r="J13" s="31"/>
    </row>
    <row r="14" spans="2:10" ht="17.25" x14ac:dyDescent="0.25">
      <c r="B14" s="12" t="s">
        <v>46</v>
      </c>
      <c r="C14" s="33">
        <f>+C17*C12+C12*C12*6-(C11-2*C12)*C12</f>
        <v>0.72960000000000014</v>
      </c>
      <c r="D14" s="12" t="s">
        <v>170</v>
      </c>
      <c r="E14" s="4"/>
      <c r="G14" s="12" t="s">
        <v>46</v>
      </c>
      <c r="H14" s="15">
        <f>+H17*H12+H12*H12*6-(H11-2*H12)*H12</f>
        <v>0.84960000000000013</v>
      </c>
      <c r="I14" s="32" t="s">
        <v>170</v>
      </c>
      <c r="J14" s="31"/>
    </row>
    <row r="15" spans="2:10" ht="17.25" x14ac:dyDescent="0.25">
      <c r="B15" s="12" t="s">
        <v>47</v>
      </c>
      <c r="C15" s="33">
        <f>IF(Input!B51="y",Input!E51,3.1)</f>
        <v>3.1</v>
      </c>
      <c r="D15" s="12" t="s">
        <v>169</v>
      </c>
      <c r="E15" s="4"/>
      <c r="G15" s="12" t="s">
        <v>47</v>
      </c>
      <c r="H15" s="15">
        <f>IF(Input!B51="y",Input!E51,3.1)</f>
        <v>3.1</v>
      </c>
      <c r="I15" s="32" t="s">
        <v>169</v>
      </c>
      <c r="J15" s="31"/>
    </row>
    <row r="16" spans="2:10" ht="17.25" x14ac:dyDescent="0.25">
      <c r="B16" s="12" t="s">
        <v>48</v>
      </c>
      <c r="C16" s="33">
        <f>IF(Input!B51="y",Input!F51,2.4)</f>
        <v>2.4</v>
      </c>
      <c r="D16" s="12" t="s">
        <v>169</v>
      </c>
      <c r="E16" s="4"/>
      <c r="G16" s="12" t="s">
        <v>48</v>
      </c>
      <c r="H16" s="15">
        <f>IF(Input!B51="y",Input!F51,2.4)</f>
        <v>2.4</v>
      </c>
      <c r="I16" s="32" t="s">
        <v>169</v>
      </c>
      <c r="J16" s="31"/>
    </row>
    <row r="17" spans="2:10" x14ac:dyDescent="0.25">
      <c r="B17" s="12" t="s">
        <v>49</v>
      </c>
      <c r="C17" s="32">
        <f>+(C11-C12*2)*4+(C10-C12*3)*2</f>
        <v>10.080000000000002</v>
      </c>
      <c r="D17" s="12" t="s">
        <v>157</v>
      </c>
      <c r="E17" s="4"/>
      <c r="G17" s="12" t="s">
        <v>49</v>
      </c>
      <c r="H17" s="12">
        <f>+(H11-H12*2)*4+(H10-H12*3)*2</f>
        <v>12.080000000000002</v>
      </c>
      <c r="I17" s="32" t="s">
        <v>157</v>
      </c>
      <c r="J17" s="31"/>
    </row>
    <row r="18" spans="2:10" x14ac:dyDescent="0.25">
      <c r="B18" s="34" t="s">
        <v>50</v>
      </c>
      <c r="C18" s="32">
        <v>0.04</v>
      </c>
      <c r="D18" s="12" t="s">
        <v>171</v>
      </c>
      <c r="E18" s="4"/>
      <c r="G18" s="34" t="s">
        <v>50</v>
      </c>
      <c r="H18" s="12">
        <v>0.04</v>
      </c>
      <c r="I18" s="32" t="s">
        <v>171</v>
      </c>
      <c r="J18" s="31"/>
    </row>
    <row r="19" spans="2:10" ht="17.25" x14ac:dyDescent="0.25">
      <c r="B19" s="12" t="s">
        <v>16</v>
      </c>
      <c r="C19" s="32">
        <v>0.13</v>
      </c>
      <c r="D19" s="12" t="s">
        <v>168</v>
      </c>
      <c r="E19" s="4"/>
      <c r="G19" s="12" t="s">
        <v>16</v>
      </c>
      <c r="H19" s="12">
        <v>0.13</v>
      </c>
      <c r="I19" s="32" t="s">
        <v>168</v>
      </c>
      <c r="J19" s="31"/>
    </row>
    <row r="20" spans="2:10" x14ac:dyDescent="0.25">
      <c r="B20" s="12"/>
      <c r="C20" s="32"/>
      <c r="D20" s="12"/>
      <c r="E20" s="4"/>
      <c r="G20" s="12"/>
      <c r="H20" s="12"/>
      <c r="I20" s="32"/>
      <c r="J20" s="31"/>
    </row>
    <row r="21" spans="2:10" x14ac:dyDescent="0.25">
      <c r="B21" s="12"/>
      <c r="C21" s="32"/>
      <c r="D21" s="12"/>
      <c r="E21" s="4"/>
      <c r="G21" s="12"/>
      <c r="H21" s="12"/>
      <c r="I21" s="32"/>
      <c r="J21" s="31"/>
    </row>
    <row r="22" spans="2:10" ht="17.25" x14ac:dyDescent="0.25">
      <c r="B22" s="12" t="s">
        <v>51</v>
      </c>
      <c r="C22" s="33">
        <f>+(C13*C15+C14*C16+C17*C18)/(C13+C14)</f>
        <v>3.0720000000000001</v>
      </c>
      <c r="D22" s="12" t="s">
        <v>169</v>
      </c>
      <c r="E22" s="4"/>
      <c r="G22" s="12" t="s">
        <v>51</v>
      </c>
      <c r="H22" s="15">
        <f>+(H13*H15+H14*H16+H17*H18)/(H13+H14)</f>
        <v>3.0778730158730156</v>
      </c>
      <c r="I22" s="32" t="s">
        <v>169</v>
      </c>
      <c r="J22" s="31"/>
    </row>
    <row r="23" spans="2:10" ht="18" x14ac:dyDescent="0.35">
      <c r="B23" s="34" t="s">
        <v>52</v>
      </c>
      <c r="C23" s="33">
        <f>+C22*(C10*C11)</f>
        <v>11.796479999999999</v>
      </c>
      <c r="D23" s="12" t="s">
        <v>154</v>
      </c>
      <c r="E23" s="4"/>
      <c r="G23" s="34" t="s">
        <v>52</v>
      </c>
      <c r="H23" s="15">
        <f>+H22*(H10*H11)</f>
        <v>15.512479999999998</v>
      </c>
      <c r="I23" s="32" t="s">
        <v>154</v>
      </c>
      <c r="J23" s="31"/>
    </row>
    <row r="24" spans="2:10" x14ac:dyDescent="0.25">
      <c r="C24" s="3"/>
      <c r="I24" s="1"/>
      <c r="J24" s="2"/>
    </row>
    <row r="25" spans="2:10" x14ac:dyDescent="0.25">
      <c r="I25" s="1"/>
      <c r="J25" s="2"/>
    </row>
    <row r="26" spans="2:10" x14ac:dyDescent="0.25">
      <c r="B26" s="38" t="s">
        <v>272</v>
      </c>
      <c r="C26" s="40"/>
      <c r="I26" s="1"/>
      <c r="J26" s="2"/>
    </row>
    <row r="27" spans="2:10" ht="17.25" x14ac:dyDescent="0.25">
      <c r="B27" s="12" t="s">
        <v>167</v>
      </c>
      <c r="C27" s="15">
        <f>C16</f>
        <v>2.4</v>
      </c>
      <c r="I27" s="1"/>
      <c r="J27" s="2"/>
    </row>
    <row r="28" spans="2:10" x14ac:dyDescent="0.25">
      <c r="B28" s="12" t="s">
        <v>248</v>
      </c>
      <c r="C28" s="20">
        <f>'Building structures'!F23</f>
        <v>0.3680720037896732</v>
      </c>
      <c r="I28" s="1"/>
      <c r="J28" s="2"/>
    </row>
    <row r="29" spans="2:10" x14ac:dyDescent="0.25">
      <c r="B29" s="12" t="s">
        <v>165</v>
      </c>
      <c r="C29" s="12">
        <v>0</v>
      </c>
      <c r="I29" s="1"/>
      <c r="J29" s="2"/>
    </row>
    <row r="30" spans="2:10" x14ac:dyDescent="0.25">
      <c r="B30" s="12" t="s">
        <v>166</v>
      </c>
      <c r="C30" s="12">
        <f>0.156*C28+0.04</f>
        <v>9.7419232591189023E-2</v>
      </c>
      <c r="I30" s="1"/>
      <c r="J30" s="2"/>
    </row>
    <row r="31" spans="2:10" x14ac:dyDescent="0.25">
      <c r="B31" s="12" t="s">
        <v>163</v>
      </c>
      <c r="C31" s="20">
        <f>(C27-1.9)/3.6*(C30-C29)+C29</f>
        <v>1.3530448970998477E-2</v>
      </c>
      <c r="I31" s="1"/>
      <c r="J31" s="2"/>
    </row>
    <row r="32" spans="2:10" x14ac:dyDescent="0.25">
      <c r="B32" s="12"/>
      <c r="C32" s="12"/>
      <c r="I32" s="1"/>
      <c r="J32" s="2"/>
    </row>
    <row r="33" spans="2:10" x14ac:dyDescent="0.25">
      <c r="B33" s="12" t="s">
        <v>164</v>
      </c>
      <c r="C33" s="20">
        <f>C31</f>
        <v>1.3530448970998477E-2</v>
      </c>
      <c r="I33" s="1"/>
      <c r="J33" s="2"/>
    </row>
    <row r="34" spans="2:10" x14ac:dyDescent="0.25">
      <c r="C34" s="2"/>
      <c r="I34" s="1"/>
      <c r="J34" s="2"/>
    </row>
    <row r="35" spans="2:10" x14ac:dyDescent="0.25">
      <c r="C35" s="2"/>
      <c r="I35" s="1"/>
      <c r="J35" s="2"/>
    </row>
    <row r="46" spans="2:10" x14ac:dyDescent="0.25">
      <c r="C46" s="3"/>
    </row>
    <row r="47" spans="2:10" x14ac:dyDescent="0.25">
      <c r="C47" s="3"/>
    </row>
    <row r="48" spans="2:10" x14ac:dyDescent="0.25">
      <c r="C48" s="3"/>
    </row>
    <row r="50" spans="3:3" x14ac:dyDescent="0.25">
      <c r="C50" s="3"/>
    </row>
    <row r="51" spans="3:3" x14ac:dyDescent="0.25">
      <c r="C51" s="3"/>
    </row>
    <row r="53" spans="3:3" x14ac:dyDescent="0.25">
      <c r="C53" s="2"/>
    </row>
    <row r="54" spans="3:3" x14ac:dyDescent="0.25">
      <c r="C54" s="2"/>
    </row>
    <row r="56" spans="3:3" x14ac:dyDescent="0.25">
      <c r="C56" s="2"/>
    </row>
  </sheetData>
  <mergeCells count="3">
    <mergeCell ref="B8:D8"/>
    <mergeCell ref="G8:I8"/>
    <mergeCell ref="B26:C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3"/>
  <sheetViews>
    <sheetView workbookViewId="0">
      <selection activeCell="D2" sqref="D2"/>
    </sheetView>
  </sheetViews>
  <sheetFormatPr defaultRowHeight="15" x14ac:dyDescent="0.25"/>
  <cols>
    <col min="2" max="2" width="20.42578125" bestFit="1" customWidth="1"/>
    <col min="3" max="3" width="13.5703125" bestFit="1" customWidth="1"/>
    <col min="4" max="4" width="12.140625" bestFit="1" customWidth="1"/>
    <col min="5" max="5" width="11.28515625" bestFit="1" customWidth="1"/>
    <col min="6" max="6" width="22" bestFit="1" customWidth="1"/>
    <col min="8" max="8" width="20.140625" bestFit="1" customWidth="1"/>
    <col min="9" max="9" width="14.28515625" bestFit="1" customWidth="1"/>
    <col min="10" max="10" width="12.140625" bestFit="1" customWidth="1"/>
    <col min="11" max="11" width="11" bestFit="1" customWidth="1"/>
    <col min="12" max="12" width="22" bestFit="1" customWidth="1"/>
  </cols>
  <sheetData>
    <row r="2" spans="2:12" ht="17.25" x14ac:dyDescent="0.25">
      <c r="B2" s="23" t="s">
        <v>274</v>
      </c>
      <c r="C2" s="12">
        <v>0.04</v>
      </c>
    </row>
    <row r="4" spans="2:12" x14ac:dyDescent="0.25">
      <c r="B4" s="44" t="s">
        <v>69</v>
      </c>
      <c r="C4" s="44"/>
      <c r="D4" s="44"/>
      <c r="E4" s="44"/>
      <c r="F4" s="44"/>
      <c r="H4" s="44" t="s">
        <v>70</v>
      </c>
      <c r="I4" s="44"/>
      <c r="J4" s="44"/>
      <c r="K4" s="44"/>
      <c r="L4" s="44"/>
    </row>
    <row r="5" spans="2:12" ht="17.25" x14ac:dyDescent="0.25">
      <c r="B5" s="12" t="s">
        <v>148</v>
      </c>
      <c r="C5" s="12">
        <f>'Building structures'!B3</f>
        <v>2.7820221472827988</v>
      </c>
      <c r="D5" s="12"/>
      <c r="E5" s="12"/>
      <c r="F5" s="12"/>
      <c r="H5" s="12" t="s">
        <v>175</v>
      </c>
      <c r="I5" s="12">
        <f>'Building windows'!F4</f>
        <v>4.1266661851361519</v>
      </c>
      <c r="J5" s="12"/>
      <c r="K5" s="12" t="s">
        <v>71</v>
      </c>
      <c r="L5" s="12">
        <f>Input!E6+Input!E7</f>
        <v>3</v>
      </c>
    </row>
    <row r="6" spans="2:12" ht="17.25" x14ac:dyDescent="0.25">
      <c r="B6" s="12" t="s">
        <v>242</v>
      </c>
      <c r="C6" s="12">
        <f>Input!F38</f>
        <v>15.066699506687732</v>
      </c>
      <c r="D6" s="12"/>
      <c r="E6" s="12"/>
      <c r="F6" s="12"/>
      <c r="H6" s="12" t="s">
        <v>243</v>
      </c>
      <c r="I6" s="12">
        <f>C6</f>
        <v>15.066699506687732</v>
      </c>
      <c r="J6" s="12"/>
      <c r="K6" s="12" t="s">
        <v>132</v>
      </c>
      <c r="L6" s="12">
        <f>Input!E23</f>
        <v>3.84</v>
      </c>
    </row>
    <row r="7" spans="2:12" ht="17.25" x14ac:dyDescent="0.25">
      <c r="B7" s="12" t="s">
        <v>177</v>
      </c>
      <c r="C7" s="12">
        <f>'Building structures'!F16</f>
        <v>0.23870790873330483</v>
      </c>
      <c r="D7" s="12"/>
      <c r="E7" s="12"/>
      <c r="F7" s="12"/>
      <c r="H7" s="12" t="s">
        <v>176</v>
      </c>
      <c r="I7" s="12">
        <f>'Building windows'!C22</f>
        <v>3.0720000000000001</v>
      </c>
      <c r="J7" s="12"/>
      <c r="K7" s="12"/>
      <c r="L7" s="12"/>
    </row>
    <row r="8" spans="2:12" x14ac:dyDescent="0.25">
      <c r="B8" s="12"/>
      <c r="C8" s="12"/>
      <c r="D8" s="12"/>
      <c r="E8" s="12"/>
      <c r="F8" s="12"/>
      <c r="H8" s="12"/>
      <c r="I8" s="12"/>
      <c r="J8" s="12"/>
      <c r="K8" s="12"/>
      <c r="L8" s="12"/>
    </row>
    <row r="9" spans="2:12" ht="17.25" x14ac:dyDescent="0.25">
      <c r="B9" s="12"/>
      <c r="C9" s="12" t="s">
        <v>172</v>
      </c>
      <c r="D9" s="12" t="s">
        <v>250</v>
      </c>
      <c r="E9" s="12" t="s">
        <v>68</v>
      </c>
      <c r="F9" s="12" t="s">
        <v>251</v>
      </c>
      <c r="H9" s="12"/>
      <c r="I9" s="12" t="s">
        <v>173</v>
      </c>
      <c r="J9" s="12" t="s">
        <v>250</v>
      </c>
      <c r="K9" s="12" t="s">
        <v>68</v>
      </c>
      <c r="L9" s="12" t="s">
        <v>251</v>
      </c>
    </row>
    <row r="10" spans="2:12" x14ac:dyDescent="0.25">
      <c r="B10" s="12" t="s">
        <v>57</v>
      </c>
      <c r="C10" s="12">
        <f>Input!G6</f>
        <v>7.32</v>
      </c>
      <c r="D10" s="12">
        <f>$C$5*C10*$C$6*$C$7*$C$2</f>
        <v>2.9296557411794475</v>
      </c>
      <c r="E10" s="12">
        <v>0.5</v>
      </c>
      <c r="F10" s="12">
        <f>D10*E10</f>
        <v>1.4648278705897237</v>
      </c>
      <c r="H10" s="12"/>
      <c r="I10" s="12">
        <f>L5*L6</f>
        <v>11.52</v>
      </c>
      <c r="J10" s="12">
        <f>$I$5*I10*$I$6*$I$7*$C$2</f>
        <v>88.013876135099451</v>
      </c>
      <c r="K10" s="12">
        <v>0.5</v>
      </c>
      <c r="L10" s="12">
        <f>J10*K10</f>
        <v>44.006938067549726</v>
      </c>
    </row>
    <row r="11" spans="2:12" x14ac:dyDescent="0.25">
      <c r="B11" s="12" t="s">
        <v>58</v>
      </c>
      <c r="C11" s="12">
        <f>Input!G7</f>
        <v>12.120000000000001</v>
      </c>
      <c r="D11" s="12">
        <f>$C$5*C11*$C$6*$C$7*$C$2</f>
        <v>4.8507414731003973</v>
      </c>
      <c r="E11" s="12">
        <v>0.5</v>
      </c>
      <c r="F11" s="12">
        <f>D11*E11</f>
        <v>2.4253707365501986</v>
      </c>
      <c r="H11" s="12"/>
      <c r="I11" s="12"/>
      <c r="J11" s="12"/>
      <c r="K11" s="12"/>
      <c r="L11" s="12"/>
    </row>
    <row r="13" spans="2:12" x14ac:dyDescent="0.25">
      <c r="B13" s="44" t="s">
        <v>72</v>
      </c>
      <c r="C13" s="44"/>
      <c r="D13" s="44"/>
      <c r="E13" s="44"/>
      <c r="F13" s="44"/>
      <c r="H13" s="44" t="s">
        <v>77</v>
      </c>
      <c r="I13" s="44"/>
      <c r="J13" s="44"/>
      <c r="K13" s="44"/>
      <c r="L13" s="44"/>
    </row>
    <row r="14" spans="2:12" ht="17.25" x14ac:dyDescent="0.25">
      <c r="B14" s="12" t="s">
        <v>180</v>
      </c>
      <c r="C14" s="12">
        <f>I5</f>
        <v>4.1266661851361519</v>
      </c>
      <c r="D14" s="12"/>
      <c r="E14" s="12" t="s">
        <v>71</v>
      </c>
      <c r="F14" s="12">
        <f>Input!F6+Input!F7</f>
        <v>1</v>
      </c>
      <c r="H14" s="12" t="s">
        <v>149</v>
      </c>
      <c r="I14" s="12">
        <f>'Building structures'!E3</f>
        <v>2.3183517894023327</v>
      </c>
      <c r="J14" s="12"/>
      <c r="K14" s="12"/>
      <c r="L14" s="12"/>
    </row>
    <row r="15" spans="2:12" ht="17.25" x14ac:dyDescent="0.25">
      <c r="B15" s="12" t="s">
        <v>243</v>
      </c>
      <c r="C15" s="12">
        <f>I6</f>
        <v>15.066699506687732</v>
      </c>
      <c r="D15" s="12"/>
      <c r="E15" s="12" t="s">
        <v>132</v>
      </c>
      <c r="F15" s="12">
        <f>Input!E24</f>
        <v>5.04</v>
      </c>
      <c r="H15" s="12" t="s">
        <v>243</v>
      </c>
      <c r="I15" s="12">
        <f>C6</f>
        <v>15.066699506687732</v>
      </c>
      <c r="J15" s="12"/>
      <c r="K15" s="12"/>
      <c r="L15" s="12"/>
    </row>
    <row r="16" spans="2:12" ht="17.25" x14ac:dyDescent="0.25">
      <c r="B16" s="12" t="s">
        <v>178</v>
      </c>
      <c r="C16" s="12">
        <f>'Building windows'!H22</f>
        <v>3.0778730158730156</v>
      </c>
      <c r="D16" s="12"/>
      <c r="E16" s="12"/>
      <c r="F16" s="12"/>
      <c r="H16" s="12" t="s">
        <v>179</v>
      </c>
      <c r="I16" s="12">
        <f>'Building structures'!M56</f>
        <v>0.4177217571683482</v>
      </c>
      <c r="J16" s="12"/>
      <c r="K16" s="12"/>
      <c r="L16" s="12"/>
    </row>
    <row r="17" spans="2:12" x14ac:dyDescent="0.25">
      <c r="B17" s="12"/>
      <c r="C17" s="12"/>
      <c r="D17" s="12"/>
      <c r="E17" s="12"/>
      <c r="F17" s="12"/>
      <c r="H17" s="12" t="s">
        <v>4</v>
      </c>
      <c r="I17" s="12">
        <f>Transfer!C5</f>
        <v>0.7</v>
      </c>
      <c r="J17" s="12"/>
      <c r="K17" s="12"/>
      <c r="L17" s="12"/>
    </row>
    <row r="18" spans="2:12" x14ac:dyDescent="0.25">
      <c r="B18" s="12"/>
      <c r="C18" s="12"/>
      <c r="D18" s="12"/>
      <c r="E18" s="12"/>
      <c r="F18" s="12"/>
      <c r="H18" s="12"/>
      <c r="I18" s="12"/>
      <c r="J18" s="12"/>
      <c r="K18" s="12"/>
      <c r="L18" s="12"/>
    </row>
    <row r="19" spans="2:12" ht="17.25" x14ac:dyDescent="0.25">
      <c r="B19" s="12"/>
      <c r="C19" s="12" t="s">
        <v>173</v>
      </c>
      <c r="D19" s="12" t="s">
        <v>250</v>
      </c>
      <c r="E19" s="12" t="s">
        <v>68</v>
      </c>
      <c r="F19" s="12" t="s">
        <v>251</v>
      </c>
      <c r="H19" s="12"/>
      <c r="I19" s="12" t="s">
        <v>174</v>
      </c>
      <c r="J19" s="12" t="s">
        <v>250</v>
      </c>
      <c r="K19" s="12" t="s">
        <v>68</v>
      </c>
      <c r="L19" s="12" t="s">
        <v>252</v>
      </c>
    </row>
    <row r="20" spans="2:12" x14ac:dyDescent="0.25">
      <c r="B20" s="12"/>
      <c r="C20" s="12">
        <f>F14*F15</f>
        <v>5.04</v>
      </c>
      <c r="D20" s="12">
        <f>$I$5*C20*$I$6*$I$7*$C$2</f>
        <v>38.506070809106006</v>
      </c>
      <c r="E20" s="12">
        <v>0.5</v>
      </c>
      <c r="F20" s="12">
        <f>D20*E20</f>
        <v>19.253035404553003</v>
      </c>
      <c r="H20" s="12"/>
      <c r="I20" s="12">
        <f>Input!C30</f>
        <v>35</v>
      </c>
      <c r="J20" s="12">
        <f>$I$14*I20*$I$15*$I$16*$C$2</f>
        <v>20.42737659675462</v>
      </c>
      <c r="K20" s="12">
        <v>0.5</v>
      </c>
      <c r="L20" s="12">
        <f>J20*K20*(1-$C$27)</f>
        <v>7.7234072665308533</v>
      </c>
    </row>
    <row r="21" spans="2:12" x14ac:dyDescent="0.25">
      <c r="B21" s="4"/>
      <c r="C21" s="4"/>
      <c r="D21" s="4"/>
      <c r="E21" s="4"/>
      <c r="F21" s="4"/>
      <c r="H21" s="4"/>
      <c r="I21" s="4"/>
      <c r="J21" s="4"/>
      <c r="K21" s="4"/>
      <c r="L21" s="4"/>
    </row>
    <row r="23" spans="2:12" x14ac:dyDescent="0.25">
      <c r="B23" s="44" t="s">
        <v>76</v>
      </c>
      <c r="C23" s="44"/>
      <c r="D23" s="44"/>
      <c r="E23" s="44"/>
      <c r="F23" s="44"/>
      <c r="H23" s="44" t="s">
        <v>94</v>
      </c>
      <c r="I23" s="44"/>
      <c r="J23" s="44"/>
      <c r="K23" s="44"/>
      <c r="L23" s="44"/>
    </row>
    <row r="24" spans="2:12" ht="17.25" x14ac:dyDescent="0.25">
      <c r="B24" s="12" t="s">
        <v>148</v>
      </c>
      <c r="C24" s="12">
        <f>C5</f>
        <v>2.7820221472827988</v>
      </c>
      <c r="D24" s="12"/>
      <c r="E24" s="12"/>
      <c r="F24" s="12"/>
      <c r="H24" s="12" t="s">
        <v>180</v>
      </c>
      <c r="I24" s="12">
        <f>I5</f>
        <v>4.1266661851361519</v>
      </c>
      <c r="J24" s="12"/>
      <c r="K24" s="12" t="s">
        <v>71</v>
      </c>
      <c r="L24" s="12">
        <v>1</v>
      </c>
    </row>
    <row r="25" spans="2:12" ht="17.25" x14ac:dyDescent="0.25">
      <c r="B25" s="12" t="s">
        <v>245</v>
      </c>
      <c r="C25" s="12">
        <f>C6</f>
        <v>15.066699506687732</v>
      </c>
      <c r="D25" s="12"/>
      <c r="E25" s="12"/>
      <c r="F25" s="12"/>
      <c r="H25" s="12" t="s">
        <v>243</v>
      </c>
      <c r="I25" s="12">
        <f>I6</f>
        <v>15.066699506687732</v>
      </c>
      <c r="J25" s="12"/>
      <c r="K25" s="12" t="s">
        <v>132</v>
      </c>
      <c r="L25" s="12">
        <f>F15</f>
        <v>5.04</v>
      </c>
    </row>
    <row r="26" spans="2:12" ht="17.25" x14ac:dyDescent="0.25">
      <c r="B26" s="12" t="s">
        <v>177</v>
      </c>
      <c r="C26" s="12">
        <f>C7</f>
        <v>0.23870790873330483</v>
      </c>
      <c r="D26" s="12"/>
      <c r="E26" s="12"/>
      <c r="F26" s="12"/>
      <c r="H26" s="12" t="s">
        <v>178</v>
      </c>
      <c r="I26" s="12">
        <f>C16</f>
        <v>3.0778730158730156</v>
      </c>
      <c r="J26" s="12"/>
      <c r="K26" s="12"/>
      <c r="L26" s="12"/>
    </row>
    <row r="27" spans="2:12" x14ac:dyDescent="0.25">
      <c r="B27" s="12" t="s">
        <v>4</v>
      </c>
      <c r="C27" s="12">
        <f>Transfer!C6</f>
        <v>0.24381799787664338</v>
      </c>
      <c r="D27" s="12"/>
      <c r="E27" s="12"/>
      <c r="F27" s="12"/>
      <c r="H27" s="12" t="s">
        <v>4</v>
      </c>
      <c r="I27" s="12">
        <f>C27</f>
        <v>0.24381799787664338</v>
      </c>
      <c r="J27" s="12"/>
      <c r="K27" s="12"/>
      <c r="L27" s="12"/>
    </row>
    <row r="28" spans="2:12" x14ac:dyDescent="0.25">
      <c r="B28" s="12"/>
      <c r="C28" s="12"/>
      <c r="D28" s="12"/>
      <c r="E28" s="12"/>
      <c r="F28" s="12"/>
      <c r="H28" s="12"/>
      <c r="I28" s="12"/>
      <c r="J28" s="12"/>
      <c r="K28" s="12"/>
      <c r="L28" s="12"/>
    </row>
    <row r="29" spans="2:12" ht="17.25" x14ac:dyDescent="0.25">
      <c r="B29" s="12"/>
      <c r="C29" s="12" t="s">
        <v>172</v>
      </c>
      <c r="D29" s="12" t="s">
        <v>250</v>
      </c>
      <c r="E29" s="12" t="s">
        <v>68</v>
      </c>
      <c r="F29" s="12" t="s">
        <v>252</v>
      </c>
      <c r="H29" s="12"/>
      <c r="I29" s="12" t="s">
        <v>130</v>
      </c>
      <c r="J29" s="12" t="s">
        <v>250</v>
      </c>
      <c r="K29" s="12" t="s">
        <v>68</v>
      </c>
      <c r="L29" s="12" t="s">
        <v>252</v>
      </c>
    </row>
    <row r="30" spans="2:12" x14ac:dyDescent="0.25">
      <c r="B30" s="12" t="s">
        <v>58</v>
      </c>
      <c r="C30" s="12">
        <f>Input!F14</f>
        <v>3.96</v>
      </c>
      <c r="D30" s="12">
        <f>$C$24*C30*$C$25*$C$26*$C$2</f>
        <v>1.5848957288347831</v>
      </c>
      <c r="E30" s="12">
        <v>0.5</v>
      </c>
      <c r="F30" s="12">
        <f>D30*E30*(1-$C$27)</f>
        <v>0.59923481269352141</v>
      </c>
      <c r="H30" s="12" t="s">
        <v>58</v>
      </c>
      <c r="I30" s="12">
        <f>L24*L25</f>
        <v>5.04</v>
      </c>
      <c r="J30" s="12">
        <f>$I$5*I30*$I$6*$I$7*$C$2</f>
        <v>38.506070809106006</v>
      </c>
      <c r="K30" s="12">
        <v>0.5</v>
      </c>
      <c r="L30" s="12">
        <f>J30*K30*(1-I27)</f>
        <v>14.558798859166759</v>
      </c>
    </row>
    <row r="31" spans="2:12" x14ac:dyDescent="0.25">
      <c r="B31" s="12" t="s">
        <v>59</v>
      </c>
      <c r="C31" s="12">
        <f>Input!F15</f>
        <v>15</v>
      </c>
      <c r="D31" s="12">
        <f>$C$5*C31*$C$6*$C$7*$C$2</f>
        <v>6.0033929122529663</v>
      </c>
      <c r="E31" s="12">
        <v>0.5</v>
      </c>
      <c r="F31" s="12">
        <f>D31*E31*(1-$C$27)</f>
        <v>2.2698288359603085</v>
      </c>
      <c r="H31" s="12"/>
      <c r="I31" s="12"/>
      <c r="J31" s="12"/>
      <c r="K31" s="12"/>
      <c r="L31" s="12"/>
    </row>
    <row r="33" spans="2:3" x14ac:dyDescent="0.25">
      <c r="B33" s="13" t="s">
        <v>80</v>
      </c>
      <c r="C33" s="13">
        <f>(F10+F11+L10+F30+F31+L20+F20+L30)*Input!G38</f>
        <v>247.22018186066643</v>
      </c>
    </row>
  </sheetData>
  <mergeCells count="6">
    <mergeCell ref="B4:F4"/>
    <mergeCell ref="B23:F23"/>
    <mergeCell ref="H4:L4"/>
    <mergeCell ref="H13:L13"/>
    <mergeCell ref="B13:F13"/>
    <mergeCell ref="H23:L23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48"/>
  <sheetViews>
    <sheetView topLeftCell="A13" workbookViewId="0">
      <selection activeCell="F28" sqref="F28"/>
    </sheetView>
  </sheetViews>
  <sheetFormatPr defaultRowHeight="15" x14ac:dyDescent="0.25"/>
  <cols>
    <col min="2" max="2" width="37.140625" bestFit="1" customWidth="1"/>
    <col min="3" max="3" width="12" bestFit="1" customWidth="1"/>
    <col min="4" max="4" width="12.140625" bestFit="1" customWidth="1"/>
    <col min="5" max="5" width="28.5703125" bestFit="1" customWidth="1"/>
    <col min="7" max="7" width="12.140625" bestFit="1" customWidth="1"/>
    <col min="8" max="8" width="19.42578125" bestFit="1" customWidth="1"/>
    <col min="9" max="9" width="19" bestFit="1" customWidth="1"/>
    <col min="10" max="10" width="20.5703125" bestFit="1" customWidth="1"/>
    <col min="12" max="12" width="19" bestFit="1" customWidth="1"/>
    <col min="13" max="13" width="20.5703125" bestFit="1" customWidth="1"/>
  </cols>
  <sheetData>
    <row r="2" spans="2:10" x14ac:dyDescent="0.25">
      <c r="B2" s="44" t="s">
        <v>4</v>
      </c>
      <c r="C2" s="44"/>
    </row>
    <row r="3" spans="2:10" x14ac:dyDescent="0.25">
      <c r="B3" s="12" t="s">
        <v>74</v>
      </c>
      <c r="C3" s="12"/>
    </row>
    <row r="4" spans="2:10" x14ac:dyDescent="0.25">
      <c r="B4" s="12" t="s">
        <v>55</v>
      </c>
      <c r="C4" s="12">
        <v>0.45</v>
      </c>
    </row>
    <row r="5" spans="2:10" x14ac:dyDescent="0.25">
      <c r="B5" s="12" t="s">
        <v>56</v>
      </c>
      <c r="C5" s="12">
        <v>0.7</v>
      </c>
    </row>
    <row r="6" spans="2:10" x14ac:dyDescent="0.25">
      <c r="B6" s="12" t="s">
        <v>75</v>
      </c>
      <c r="C6" s="20">
        <f>'Building structures'!C102</f>
        <v>0.24381799787664338</v>
      </c>
    </row>
    <row r="8" spans="2:10" x14ac:dyDescent="0.25">
      <c r="B8" s="38" t="s">
        <v>115</v>
      </c>
      <c r="C8" s="39"/>
      <c r="D8" s="39"/>
      <c r="E8" s="39"/>
      <c r="F8" s="39"/>
      <c r="G8" s="39"/>
      <c r="H8" s="39"/>
      <c r="I8" s="39"/>
      <c r="J8" s="40"/>
    </row>
    <row r="9" spans="2:10" x14ac:dyDescent="0.25">
      <c r="B9" s="12"/>
      <c r="C9" s="12"/>
      <c r="D9" s="12"/>
      <c r="E9" s="12"/>
      <c r="F9" s="12"/>
      <c r="G9" s="12"/>
      <c r="H9" s="12"/>
      <c r="I9" s="12"/>
      <c r="J9" s="12"/>
    </row>
    <row r="10" spans="2:10" x14ac:dyDescent="0.25">
      <c r="B10" s="12"/>
      <c r="C10" s="13" t="s">
        <v>111</v>
      </c>
      <c r="D10" s="13" t="s">
        <v>112</v>
      </c>
      <c r="E10" s="13" t="s">
        <v>81</v>
      </c>
      <c r="F10" s="13" t="s">
        <v>116</v>
      </c>
      <c r="G10" s="13" t="s">
        <v>113</v>
      </c>
      <c r="H10" s="13" t="s">
        <v>114</v>
      </c>
      <c r="I10" s="13" t="s">
        <v>117</v>
      </c>
      <c r="J10" s="13" t="s">
        <v>118</v>
      </c>
    </row>
    <row r="11" spans="2:10" x14ac:dyDescent="0.25">
      <c r="B11" s="12" t="s">
        <v>84</v>
      </c>
      <c r="C11" s="12">
        <v>1</v>
      </c>
      <c r="D11" s="12">
        <v>3</v>
      </c>
      <c r="E11" s="12">
        <v>3</v>
      </c>
      <c r="F11" s="12">
        <v>1</v>
      </c>
      <c r="G11" s="12">
        <v>1</v>
      </c>
      <c r="H11" s="12">
        <v>1</v>
      </c>
      <c r="I11" s="12">
        <v>1</v>
      </c>
      <c r="J11" s="12">
        <v>1</v>
      </c>
    </row>
    <row r="12" spans="2:10" x14ac:dyDescent="0.25">
      <c r="B12" s="12" t="s">
        <v>182</v>
      </c>
      <c r="C12" s="20">
        <f>'Building structures'!J86</f>
        <v>0.3245064030649677</v>
      </c>
      <c r="D12" s="20">
        <f>'Building structures'!C93</f>
        <v>4.2967423571994873E-2</v>
      </c>
      <c r="E12" s="20">
        <f>'Building windows'!C33</f>
        <v>1.3530448970998477E-2</v>
      </c>
      <c r="F12" s="20">
        <f>'Building windows'!C33</f>
        <v>1.3530448970998477E-2</v>
      </c>
      <c r="G12" s="20">
        <f>'Building structures'!C85</f>
        <v>1.0029793516443828</v>
      </c>
      <c r="H12" s="20">
        <f>G12</f>
        <v>1.0029793516443828</v>
      </c>
      <c r="I12" s="20">
        <f>H12</f>
        <v>1.0029793516443828</v>
      </c>
      <c r="J12" s="20">
        <f>I12</f>
        <v>1.0029793516443828</v>
      </c>
    </row>
    <row r="13" spans="2:10" x14ac:dyDescent="0.25">
      <c r="B13" s="12" t="s">
        <v>131</v>
      </c>
      <c r="C13" s="12">
        <f>Input!B18</f>
        <v>3</v>
      </c>
      <c r="D13" s="12">
        <f>Input!B18</f>
        <v>3</v>
      </c>
      <c r="E13" s="12">
        <f>'Building windows'!C17</f>
        <v>10.080000000000002</v>
      </c>
      <c r="F13" s="12">
        <f>'Building windows'!H17</f>
        <v>12.080000000000002</v>
      </c>
      <c r="G13" s="12">
        <f>Input!C6+Input!C7</f>
        <v>12</v>
      </c>
      <c r="H13" s="12">
        <f>G13</f>
        <v>12</v>
      </c>
      <c r="I13" s="12">
        <f>Input!C8</f>
        <v>5</v>
      </c>
      <c r="J13" s="12">
        <f>I13</f>
        <v>5</v>
      </c>
    </row>
    <row r="14" spans="2:10" x14ac:dyDescent="0.25">
      <c r="B14" s="12" t="s">
        <v>4</v>
      </c>
      <c r="C14" s="12"/>
      <c r="D14" s="12"/>
      <c r="E14" s="12"/>
      <c r="F14" s="12"/>
      <c r="G14" s="12"/>
      <c r="H14" s="12"/>
      <c r="I14" s="20">
        <f>C6</f>
        <v>0.24381799787664338</v>
      </c>
      <c r="J14" s="20">
        <f>C6</f>
        <v>0.24381799787664338</v>
      </c>
    </row>
    <row r="15" spans="2:10" x14ac:dyDescent="0.25">
      <c r="B15" s="12" t="s">
        <v>280</v>
      </c>
      <c r="C15" s="12">
        <f>C11*C12*C13</f>
        <v>0.97351920919490309</v>
      </c>
      <c r="D15" s="12">
        <f>D11*D12*D13</f>
        <v>0.38670681214795388</v>
      </c>
      <c r="E15" s="12">
        <f t="shared" ref="E15:J15" si="0">E11*E12*E13</f>
        <v>0.40916077688299402</v>
      </c>
      <c r="F15" s="12">
        <f t="shared" si="0"/>
        <v>0.16344782356966162</v>
      </c>
      <c r="G15" s="12">
        <f t="shared" si="0"/>
        <v>12.035752219732593</v>
      </c>
      <c r="H15" s="12">
        <f t="shared" si="0"/>
        <v>12.035752219732593</v>
      </c>
      <c r="I15" s="12">
        <f t="shared" si="0"/>
        <v>5.0148967582219139</v>
      </c>
      <c r="J15" s="12">
        <f t="shared" si="0"/>
        <v>5.0148967582219139</v>
      </c>
    </row>
    <row r="17" spans="2:10" x14ac:dyDescent="0.25">
      <c r="B17" s="44" t="s">
        <v>276</v>
      </c>
      <c r="C17" s="44"/>
      <c r="D17" s="44"/>
      <c r="E17" s="44"/>
      <c r="F17" s="44"/>
      <c r="G17" s="44"/>
      <c r="H17" s="44"/>
      <c r="I17" s="44"/>
      <c r="J17" s="44"/>
    </row>
    <row r="19" spans="2:10" x14ac:dyDescent="0.25">
      <c r="B19" s="13" t="s">
        <v>184</v>
      </c>
      <c r="C19" s="12"/>
      <c r="E19" s="13" t="s">
        <v>187</v>
      </c>
      <c r="F19" s="12">
        <f>C20+C21+C22+C23+F21+I20+I21+I22</f>
        <v>171.73104999468038</v>
      </c>
      <c r="H19" s="13" t="s">
        <v>186</v>
      </c>
      <c r="I19" s="12"/>
    </row>
    <row r="20" spans="2:10" x14ac:dyDescent="0.25">
      <c r="B20" s="12" t="s">
        <v>1</v>
      </c>
      <c r="C20" s="12">
        <f>'Building structures'!F18+'Building structures'!M17</f>
        <v>22.408485019097867</v>
      </c>
      <c r="H20" s="12" t="s">
        <v>75</v>
      </c>
      <c r="I20" s="12">
        <f>'Building structures'!M17*C6</f>
        <v>4.3321589843671182</v>
      </c>
    </row>
    <row r="21" spans="2:10" x14ac:dyDescent="0.25">
      <c r="B21" s="12" t="s">
        <v>81</v>
      </c>
      <c r="C21" s="12">
        <f>'Building windows'!C23*Radiation!L5</f>
        <v>35.389439999999993</v>
      </c>
      <c r="E21" s="13" t="s">
        <v>185</v>
      </c>
      <c r="F21" s="12">
        <f>'Building structures'!F37*C4</f>
        <v>22.716920900939037</v>
      </c>
      <c r="H21" s="12" t="s">
        <v>56</v>
      </c>
      <c r="I21" s="12">
        <f>'Building structures'!M37*C5</f>
        <v>35.337432512571837</v>
      </c>
    </row>
    <row r="22" spans="2:10" x14ac:dyDescent="0.25">
      <c r="B22" s="12" t="s">
        <v>73</v>
      </c>
      <c r="C22" s="12">
        <f>'Building windows'!H23*Radiation!F14</f>
        <v>15.512479999999998</v>
      </c>
      <c r="H22" s="12" t="s">
        <v>123</v>
      </c>
      <c r="I22" s="12">
        <f>SUM(I15:J15)</f>
        <v>10.029793516443828</v>
      </c>
    </row>
    <row r="23" spans="2:10" x14ac:dyDescent="0.25">
      <c r="B23" s="12" t="s">
        <v>123</v>
      </c>
      <c r="C23" s="12">
        <f>SUM(C15:H15)</f>
        <v>26.004339061260701</v>
      </c>
    </row>
    <row r="25" spans="2:10" x14ac:dyDescent="0.25">
      <c r="B25" s="12" t="s">
        <v>279</v>
      </c>
      <c r="C25" s="12">
        <f>I22+C23</f>
        <v>36.034132577704526</v>
      </c>
    </row>
    <row r="27" spans="2:10" x14ac:dyDescent="0.25">
      <c r="B27" s="13" t="s">
        <v>246</v>
      </c>
      <c r="C27" s="13">
        <f>F19*(Input!C35-Input!C38)*Input!G38</f>
        <v>5565.5697760995972</v>
      </c>
    </row>
    <row r="29" spans="2:10" x14ac:dyDescent="0.25">
      <c r="B29" s="13" t="s">
        <v>277</v>
      </c>
      <c r="C29" s="13">
        <f>C27+Radiation!C33-'Q sol'!G23</f>
        <v>5785.0538741884293</v>
      </c>
      <c r="E29" s="11"/>
      <c r="F29" s="11"/>
    </row>
    <row r="32" spans="2:10" x14ac:dyDescent="0.25">
      <c r="B32" s="44" t="s">
        <v>275</v>
      </c>
      <c r="C32" s="44"/>
      <c r="D32" s="44"/>
      <c r="E32" s="44"/>
    </row>
    <row r="33" spans="2:5" x14ac:dyDescent="0.25">
      <c r="B33" s="12" t="s">
        <v>69</v>
      </c>
      <c r="C33" s="12">
        <f>(C20+I20)</f>
        <v>26.740644003464986</v>
      </c>
      <c r="D33" s="12">
        <f>C33*(Input!$C$35-Input!$C$38)</f>
        <v>323.56179244192634</v>
      </c>
      <c r="E33" s="35">
        <f>D33/$D$38</f>
        <v>0.1711745537318359</v>
      </c>
    </row>
    <row r="34" spans="2:5" x14ac:dyDescent="0.25">
      <c r="B34" s="12" t="s">
        <v>70</v>
      </c>
      <c r="C34" s="12">
        <f>C21</f>
        <v>35.389439999999993</v>
      </c>
      <c r="D34" s="12">
        <f>C34*(Input!$C$35-Input!$C$38)</f>
        <v>428.21222399999994</v>
      </c>
      <c r="E34" s="35">
        <f>D34/$D$38</f>
        <v>0.22653798457638605</v>
      </c>
    </row>
    <row r="35" spans="2:5" x14ac:dyDescent="0.25">
      <c r="B35" s="12" t="s">
        <v>77</v>
      </c>
      <c r="C35" s="12">
        <f>I21</f>
        <v>35.337432512571837</v>
      </c>
      <c r="D35" s="12">
        <f>C35*(Input!$C$35-Input!$C$38)</f>
        <v>427.58293340211924</v>
      </c>
      <c r="E35" s="35">
        <f>D35/$D$38</f>
        <v>0.22620506969033935</v>
      </c>
    </row>
    <row r="36" spans="2:5" x14ac:dyDescent="0.25">
      <c r="B36" s="12" t="s">
        <v>262</v>
      </c>
      <c r="C36" s="12">
        <f>C25</f>
        <v>36.034132577704526</v>
      </c>
      <c r="D36" s="12">
        <f>C36*(Input!$C$35-Input!$C$38)</f>
        <v>436.01300419022476</v>
      </c>
      <c r="E36" s="35">
        <f>D36/$D$38</f>
        <v>0.23066484720050612</v>
      </c>
    </row>
    <row r="37" spans="2:5" x14ac:dyDescent="0.25">
      <c r="B37" s="12" t="s">
        <v>261</v>
      </c>
      <c r="C37" s="12">
        <f>F21</f>
        <v>22.716920900939037</v>
      </c>
      <c r="D37" s="12">
        <f>C37*(Input!$C$35-Input!$C$38)</f>
        <v>274.87474290136237</v>
      </c>
      <c r="E37" s="35">
        <f>D37/$D$38</f>
        <v>0.14541754480093244</v>
      </c>
    </row>
    <row r="38" spans="2:5" x14ac:dyDescent="0.25">
      <c r="B38" s="12"/>
      <c r="C38" s="12" t="s">
        <v>103</v>
      </c>
      <c r="D38" s="12">
        <f>SUM(D33:D37)</f>
        <v>1890.2446969356329</v>
      </c>
      <c r="E38" s="12"/>
    </row>
    <row r="40" spans="2:5" x14ac:dyDescent="0.25">
      <c r="B40" s="44" t="s">
        <v>115</v>
      </c>
      <c r="C40" s="44"/>
      <c r="D40" s="44"/>
      <c r="E40" s="36"/>
    </row>
    <row r="41" spans="2:5" x14ac:dyDescent="0.25">
      <c r="B41" s="12"/>
      <c r="C41" s="12" t="s">
        <v>281</v>
      </c>
      <c r="D41" s="12"/>
    </row>
    <row r="42" spans="2:5" x14ac:dyDescent="0.25">
      <c r="B42" s="12" t="s">
        <v>1</v>
      </c>
      <c r="C42" s="12">
        <f>C15+D15</f>
        <v>1.360226021342857</v>
      </c>
      <c r="D42" s="35">
        <f>C42/$C$46</f>
        <v>3.7748265992240709E-2</v>
      </c>
    </row>
    <row r="43" spans="2:5" x14ac:dyDescent="0.25">
      <c r="B43" s="12" t="s">
        <v>278</v>
      </c>
      <c r="C43" s="12">
        <f>E15+F15</f>
        <v>0.5726086004526556</v>
      </c>
      <c r="D43" s="35">
        <f t="shared" ref="D43:D45" si="1">C43/$C$46</f>
        <v>1.5890728026208872E-2</v>
      </c>
    </row>
    <row r="44" spans="2:5" x14ac:dyDescent="0.25">
      <c r="B44" s="12" t="s">
        <v>113</v>
      </c>
      <c r="C44" s="12">
        <f>G15+I15</f>
        <v>17.050648977954509</v>
      </c>
      <c r="D44" s="35">
        <f t="shared" si="1"/>
        <v>0.47318050299077519</v>
      </c>
    </row>
    <row r="45" spans="2:5" x14ac:dyDescent="0.25">
      <c r="B45" s="12" t="s">
        <v>114</v>
      </c>
      <c r="C45" s="12">
        <f>H15+J15</f>
        <v>17.050648977954509</v>
      </c>
      <c r="D45" s="35">
        <f t="shared" si="1"/>
        <v>0.47318050299077519</v>
      </c>
    </row>
    <row r="46" spans="2:5" x14ac:dyDescent="0.25">
      <c r="B46" s="12" t="s">
        <v>103</v>
      </c>
      <c r="C46" s="12">
        <f>C42+C43+C44+C45</f>
        <v>36.034132577704533</v>
      </c>
      <c r="D46" s="12"/>
    </row>
    <row r="48" spans="2:5" x14ac:dyDescent="0.25">
      <c r="B48" s="6"/>
    </row>
  </sheetData>
  <mergeCells count="5">
    <mergeCell ref="B8:J8"/>
    <mergeCell ref="B2:C2"/>
    <mergeCell ref="B32:E32"/>
    <mergeCell ref="B17:J17"/>
    <mergeCell ref="B40:D40"/>
  </mergeCells>
  <pageMargins left="0.7" right="0.7" top="0.75" bottom="0.75" header="0.3" footer="0.3"/>
  <pageSetup orientation="portrait" horizontalDpi="4294967294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3"/>
  <sheetViews>
    <sheetView workbookViewId="0">
      <selection activeCell="D37" sqref="D37"/>
    </sheetView>
  </sheetViews>
  <sheetFormatPr defaultRowHeight="15" x14ac:dyDescent="0.25"/>
  <cols>
    <col min="2" max="2" width="11.28515625" bestFit="1" customWidth="1"/>
    <col min="3" max="3" width="12" bestFit="1" customWidth="1"/>
    <col min="4" max="4" width="14.42578125" bestFit="1" customWidth="1"/>
  </cols>
  <sheetData>
    <row r="2" spans="2:4" x14ac:dyDescent="0.25">
      <c r="B2" s="44" t="s">
        <v>85</v>
      </c>
      <c r="C2" s="44"/>
      <c r="D2" s="44"/>
    </row>
    <row r="3" spans="2:4" ht="17.25" x14ac:dyDescent="0.25">
      <c r="B3" s="12" t="s">
        <v>82</v>
      </c>
      <c r="C3" s="12">
        <f>Input!F18</f>
        <v>105</v>
      </c>
      <c r="D3" s="12" t="s">
        <v>188</v>
      </c>
    </row>
    <row r="4" spans="2:4" ht="17.25" x14ac:dyDescent="0.25">
      <c r="B4" s="12" t="s">
        <v>228</v>
      </c>
      <c r="C4" s="12">
        <v>1.2</v>
      </c>
      <c r="D4" s="12" t="s">
        <v>189</v>
      </c>
    </row>
    <row r="5" spans="2:4" x14ac:dyDescent="0.25">
      <c r="B5" s="12" t="s">
        <v>229</v>
      </c>
      <c r="C5" s="12">
        <v>1000</v>
      </c>
      <c r="D5" s="12" t="s">
        <v>190</v>
      </c>
    </row>
    <row r="6" spans="2:4" x14ac:dyDescent="0.25">
      <c r="B6" s="12" t="s">
        <v>84</v>
      </c>
      <c r="C6" s="12">
        <v>0.5</v>
      </c>
      <c r="D6" s="12" t="s">
        <v>191</v>
      </c>
    </row>
    <row r="7" spans="2:4" ht="17.25" x14ac:dyDescent="0.25">
      <c r="B7" s="12" t="s">
        <v>230</v>
      </c>
      <c r="C7" s="12">
        <f>C6*C3/3600</f>
        <v>1.4583333333333334E-2</v>
      </c>
      <c r="D7" s="12" t="s">
        <v>192</v>
      </c>
    </row>
    <row r="8" spans="2:4" x14ac:dyDescent="0.25">
      <c r="B8" s="12" t="s">
        <v>231</v>
      </c>
      <c r="C8" s="12">
        <f>Input!C35</f>
        <v>20</v>
      </c>
      <c r="D8" s="12" t="s">
        <v>193</v>
      </c>
    </row>
    <row r="9" spans="2:4" x14ac:dyDescent="0.25">
      <c r="B9" s="12" t="s">
        <v>232</v>
      </c>
      <c r="C9" s="12">
        <f>Input!D35</f>
        <v>0</v>
      </c>
      <c r="D9" s="12" t="s">
        <v>193</v>
      </c>
    </row>
    <row r="10" spans="2:4" x14ac:dyDescent="0.25">
      <c r="B10" s="12" t="s">
        <v>83</v>
      </c>
      <c r="C10" s="12">
        <f>24*31</f>
        <v>744</v>
      </c>
      <c r="D10" s="12" t="s">
        <v>194</v>
      </c>
    </row>
    <row r="11" spans="2:4" x14ac:dyDescent="0.25">
      <c r="B11" s="12" t="s">
        <v>233</v>
      </c>
      <c r="C11" s="12">
        <v>0.6</v>
      </c>
      <c r="D11" s="12"/>
    </row>
    <row r="12" spans="2:4" ht="17.25" x14ac:dyDescent="0.25">
      <c r="B12" s="12" t="s">
        <v>234</v>
      </c>
      <c r="C12" s="12">
        <f>C11*C7</f>
        <v>8.7499999999999991E-3</v>
      </c>
      <c r="D12" s="12" t="s">
        <v>192</v>
      </c>
    </row>
    <row r="13" spans="2:4" x14ac:dyDescent="0.25">
      <c r="B13" s="12" t="s">
        <v>235</v>
      </c>
      <c r="C13" s="12">
        <v>1</v>
      </c>
      <c r="D13" s="12"/>
    </row>
    <row r="14" spans="2:4" x14ac:dyDescent="0.25">
      <c r="B14" s="12" t="s">
        <v>219</v>
      </c>
      <c r="C14" s="12">
        <f>C4*C5*C12*C13</f>
        <v>10.499999999999998</v>
      </c>
      <c r="D14" s="12" t="s">
        <v>183</v>
      </c>
    </row>
    <row r="15" spans="2:4" x14ac:dyDescent="0.25">
      <c r="B15" s="12" t="s">
        <v>236</v>
      </c>
      <c r="C15" s="12">
        <f>C14*C10*(C8-C9)*3600/1000000</f>
        <v>562.46399999999983</v>
      </c>
      <c r="D15" s="12" t="s">
        <v>129</v>
      </c>
    </row>
    <row r="18" spans="2:4" ht="15" customHeight="1" x14ac:dyDescent="0.25">
      <c r="B18" s="51" t="s">
        <v>86</v>
      </c>
      <c r="C18" s="52"/>
      <c r="D18" s="53"/>
    </row>
    <row r="19" spans="2:4" ht="17.25" x14ac:dyDescent="0.25">
      <c r="B19" s="12" t="s">
        <v>87</v>
      </c>
      <c r="C19" s="37">
        <v>7</v>
      </c>
      <c r="D19" s="37" t="s">
        <v>195</v>
      </c>
    </row>
    <row r="20" spans="2:4" x14ac:dyDescent="0.25">
      <c r="B20" s="34" t="s">
        <v>88</v>
      </c>
      <c r="C20" s="12">
        <v>0.04</v>
      </c>
      <c r="D20" s="12"/>
    </row>
    <row r="21" spans="2:4" ht="17.25" x14ac:dyDescent="0.25">
      <c r="B21" s="37" t="s">
        <v>237</v>
      </c>
      <c r="C21" s="12">
        <f>C3*C19*C20/3600</f>
        <v>8.1666666666666676E-3</v>
      </c>
      <c r="D21" s="12" t="s">
        <v>196</v>
      </c>
    </row>
    <row r="22" spans="2:4" ht="17.25" x14ac:dyDescent="0.25">
      <c r="B22" s="34" t="s">
        <v>238</v>
      </c>
      <c r="C22" s="12">
        <f>MAX(Input!E45/3600,C7)</f>
        <v>4.1666666666666664E-2</v>
      </c>
      <c r="D22" s="12" t="s">
        <v>196</v>
      </c>
    </row>
    <row r="23" spans="2:4" x14ac:dyDescent="0.25">
      <c r="B23" s="34" t="s">
        <v>239</v>
      </c>
      <c r="C23" s="12">
        <v>0.8</v>
      </c>
      <c r="D23" s="12"/>
    </row>
    <row r="24" spans="2:4" x14ac:dyDescent="0.25">
      <c r="B24" s="34" t="s">
        <v>89</v>
      </c>
      <c r="C24" s="12">
        <f>Input!D45</f>
        <v>1</v>
      </c>
      <c r="D24" s="12"/>
    </row>
    <row r="25" spans="2:4" x14ac:dyDescent="0.25">
      <c r="B25" s="34" t="s">
        <v>90</v>
      </c>
      <c r="C25" s="12">
        <v>15</v>
      </c>
      <c r="D25" s="12"/>
    </row>
    <row r="26" spans="2:4" ht="17.25" x14ac:dyDescent="0.25">
      <c r="B26" s="34" t="s">
        <v>240</v>
      </c>
      <c r="C26" s="12">
        <f>C22</f>
        <v>4.1666666666666664E-2</v>
      </c>
      <c r="D26" s="12" t="s">
        <v>196</v>
      </c>
    </row>
    <row r="27" spans="2:4" ht="17.25" x14ac:dyDescent="0.25">
      <c r="B27" s="34" t="s">
        <v>241</v>
      </c>
      <c r="C27" s="12">
        <f>C21/(1+C25/C20*(C26/(C3*C19/3600))^2)</f>
        <v>4.9142043223645193E-4</v>
      </c>
      <c r="D27" s="12" t="s">
        <v>196</v>
      </c>
    </row>
    <row r="28" spans="2:4" ht="17.25" x14ac:dyDescent="0.25">
      <c r="B28" s="34" t="s">
        <v>234</v>
      </c>
      <c r="C28" s="12">
        <f>(C7+C21)*(1-C24)+(C22*C13*C23+C27)*C24</f>
        <v>3.3824753765569787E-2</v>
      </c>
      <c r="D28" s="12" t="s">
        <v>196</v>
      </c>
    </row>
    <row r="29" spans="2:4" x14ac:dyDescent="0.25">
      <c r="B29" s="34" t="s">
        <v>219</v>
      </c>
      <c r="C29" s="12">
        <f>C28*C13*C4*C5</f>
        <v>40.589704518683746</v>
      </c>
      <c r="D29" s="12" t="s">
        <v>183</v>
      </c>
    </row>
    <row r="30" spans="2:4" x14ac:dyDescent="0.25">
      <c r="B30" s="34" t="s">
        <v>236</v>
      </c>
      <c r="C30" s="12">
        <f>C29*(C8-C9)*C10*3600/1000000</f>
        <v>2174.3092916568507</v>
      </c>
      <c r="D30" s="12" t="s">
        <v>129</v>
      </c>
    </row>
    <row r="33" spans="2:2" x14ac:dyDescent="0.25">
      <c r="B33" t="s">
        <v>91</v>
      </c>
    </row>
  </sheetData>
  <mergeCells count="2">
    <mergeCell ref="B2:D2"/>
    <mergeCell ref="B18:D18"/>
  </mergeCells>
  <pageMargins left="0.7" right="0.7" top="0.75" bottom="0.75" header="0.3" footer="0.3"/>
  <pageSetup orientation="portrait" horizontalDpi="4294967293" vertic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7"/>
  <sheetViews>
    <sheetView topLeftCell="A13" workbookViewId="0">
      <selection activeCell="F31" sqref="F31"/>
    </sheetView>
  </sheetViews>
  <sheetFormatPr defaultRowHeight="15" x14ac:dyDescent="0.25"/>
  <cols>
    <col min="2" max="2" width="24.140625" bestFit="1" customWidth="1"/>
    <col min="4" max="4" width="10" bestFit="1" customWidth="1"/>
    <col min="5" max="5" width="12.7109375" bestFit="1" customWidth="1"/>
    <col min="6" max="7" width="20.85546875" bestFit="1" customWidth="1"/>
    <col min="8" max="8" width="24.140625" bestFit="1" customWidth="1"/>
    <col min="9" max="9" width="12" bestFit="1" customWidth="1"/>
    <col min="11" max="11" width="19.42578125" bestFit="1" customWidth="1"/>
    <col min="12" max="12" width="16" bestFit="1" customWidth="1"/>
    <col min="15" max="15" width="16" bestFit="1" customWidth="1"/>
  </cols>
  <sheetData>
    <row r="2" spans="2:17" ht="17.25" x14ac:dyDescent="0.25">
      <c r="B2" s="44" t="s">
        <v>282</v>
      </c>
      <c r="C2" s="44"/>
      <c r="D2" s="44"/>
      <c r="E2" s="44"/>
      <c r="G2" s="44" t="s">
        <v>283</v>
      </c>
      <c r="H2" s="44"/>
      <c r="I2" s="44"/>
      <c r="J2" s="44"/>
    </row>
    <row r="3" spans="2:17" x14ac:dyDescent="0.25">
      <c r="B3" s="12"/>
      <c r="C3" s="12" t="s">
        <v>58</v>
      </c>
      <c r="D3" s="12" t="s">
        <v>99</v>
      </c>
      <c r="E3" s="12" t="s">
        <v>100</v>
      </c>
      <c r="G3" s="12"/>
      <c r="H3" s="12" t="s">
        <v>58</v>
      </c>
      <c r="I3" s="12" t="s">
        <v>99</v>
      </c>
      <c r="J3" s="12" t="s">
        <v>100</v>
      </c>
    </row>
    <row r="4" spans="2:17" x14ac:dyDescent="0.25">
      <c r="B4" s="12" t="s">
        <v>5</v>
      </c>
      <c r="C4" s="12">
        <v>118.1712962962963</v>
      </c>
      <c r="D4" s="12">
        <v>51.273148148148145</v>
      </c>
      <c r="E4" s="12">
        <v>19.560185185185187</v>
      </c>
      <c r="G4" s="12" t="s">
        <v>5</v>
      </c>
      <c r="H4" s="12">
        <v>0.81</v>
      </c>
      <c r="I4" s="12">
        <v>0.39</v>
      </c>
      <c r="J4" s="12">
        <v>0</v>
      </c>
      <c r="Q4" s="4"/>
    </row>
    <row r="6" spans="2:17" x14ac:dyDescent="0.25">
      <c r="B6" s="44" t="s">
        <v>106</v>
      </c>
      <c r="C6" s="44"/>
      <c r="D6" s="44"/>
      <c r="F6" s="44" t="s">
        <v>76</v>
      </c>
      <c r="G6" s="44"/>
      <c r="H6" s="44"/>
    </row>
    <row r="7" spans="2:17" x14ac:dyDescent="0.25">
      <c r="B7" s="12" t="s">
        <v>96</v>
      </c>
      <c r="C7" s="12" t="s">
        <v>97</v>
      </c>
      <c r="D7" s="12" t="s">
        <v>2</v>
      </c>
      <c r="F7" s="12" t="s">
        <v>96</v>
      </c>
      <c r="G7" s="12" t="s">
        <v>97</v>
      </c>
      <c r="H7" s="12" t="s">
        <v>98</v>
      </c>
    </row>
    <row r="8" spans="2:17" ht="17.25" x14ac:dyDescent="0.25">
      <c r="B8" s="12" t="s">
        <v>197</v>
      </c>
      <c r="C8" s="12">
        <f>Input!D7</f>
        <v>21</v>
      </c>
      <c r="D8" s="12">
        <f>Input!D6</f>
        <v>15</v>
      </c>
      <c r="F8" s="12" t="s">
        <v>197</v>
      </c>
      <c r="G8" s="12">
        <f>Input!D14</f>
        <v>9</v>
      </c>
      <c r="H8" s="12">
        <f>Input!D15</f>
        <v>15</v>
      </c>
    </row>
    <row r="9" spans="2:17" ht="17.25" x14ac:dyDescent="0.25">
      <c r="B9" s="12" t="s">
        <v>198</v>
      </c>
      <c r="C9" s="12">
        <f>Input!E7*Input!E23+Input!F7*Input!E24</f>
        <v>8.879999999999999</v>
      </c>
      <c r="D9" s="12">
        <f>Input!E6*Input!E23+Input!F6*Input!E24</f>
        <v>7.68</v>
      </c>
      <c r="F9" s="12" t="s">
        <v>198</v>
      </c>
      <c r="G9" s="12">
        <f>Input!E24*Input!E14</f>
        <v>5.04</v>
      </c>
      <c r="H9" s="12">
        <f>Input!E24*Input!E15</f>
        <v>0</v>
      </c>
    </row>
    <row r="10" spans="2:17" ht="17.25" x14ac:dyDescent="0.25">
      <c r="B10" s="12" t="s">
        <v>199</v>
      </c>
      <c r="C10" s="12">
        <f>C8-C9</f>
        <v>12.120000000000001</v>
      </c>
      <c r="D10" s="12">
        <f>D8-D9</f>
        <v>7.32</v>
      </c>
      <c r="F10" s="12" t="s">
        <v>199</v>
      </c>
      <c r="G10" s="12">
        <f>G8-G9</f>
        <v>3.96</v>
      </c>
      <c r="H10" s="12">
        <f>H8-H9</f>
        <v>15</v>
      </c>
    </row>
    <row r="11" spans="2:17" x14ac:dyDescent="0.25">
      <c r="B11" s="12" t="s">
        <v>4</v>
      </c>
      <c r="C11" s="12"/>
      <c r="D11" s="12"/>
      <c r="F11" s="12" t="s">
        <v>4</v>
      </c>
      <c r="G11" s="12">
        <f>Transfer!C6</f>
        <v>0.24381799787664338</v>
      </c>
      <c r="H11" s="12">
        <f>Transfer!C6</f>
        <v>0.24381799787664338</v>
      </c>
    </row>
    <row r="13" spans="2:17" ht="17.25" x14ac:dyDescent="0.25">
      <c r="B13" s="12" t="s">
        <v>121</v>
      </c>
      <c r="C13" s="12">
        <v>0.75</v>
      </c>
      <c r="E13" s="12" t="s">
        <v>181</v>
      </c>
      <c r="F13" s="12">
        <v>0.04</v>
      </c>
    </row>
    <row r="14" spans="2:17" x14ac:dyDescent="0.25">
      <c r="B14" s="12" t="s">
        <v>101</v>
      </c>
      <c r="C14" s="12">
        <f>0.9*C13</f>
        <v>0.67500000000000004</v>
      </c>
      <c r="E14" s="12" t="s">
        <v>200</v>
      </c>
      <c r="F14" s="12">
        <f>Input!G38</f>
        <v>2.6783999999999999</v>
      </c>
    </row>
    <row r="15" spans="2:17" x14ac:dyDescent="0.25">
      <c r="B15" s="12" t="s">
        <v>122</v>
      </c>
      <c r="C15" s="12">
        <v>0.8</v>
      </c>
    </row>
    <row r="16" spans="2:17" x14ac:dyDescent="0.25">
      <c r="B16" s="12" t="s">
        <v>102</v>
      </c>
      <c r="C16" s="12">
        <f>C15*C14</f>
        <v>0.54</v>
      </c>
      <c r="E16" s="12" t="s">
        <v>201</v>
      </c>
      <c r="F16" s="12">
        <f>Input!D18</f>
        <v>0.6</v>
      </c>
    </row>
    <row r="17" spans="2:13" x14ac:dyDescent="0.25">
      <c r="B17" s="12" t="s">
        <v>227</v>
      </c>
      <c r="C17" s="12">
        <v>0.8</v>
      </c>
      <c r="E17" s="12" t="s">
        <v>202</v>
      </c>
      <c r="F17" s="12">
        <f>'Building windows'!D4</f>
        <v>0.89</v>
      </c>
    </row>
    <row r="19" spans="2:13" x14ac:dyDescent="0.25">
      <c r="B19" s="38" t="s">
        <v>284</v>
      </c>
      <c r="C19" s="39"/>
      <c r="D19" s="39"/>
      <c r="E19" s="39"/>
      <c r="F19" s="39"/>
      <c r="G19" s="40"/>
      <c r="J19" s="4"/>
    </row>
    <row r="20" spans="2:13" x14ac:dyDescent="0.25">
      <c r="B20" s="12"/>
      <c r="C20" s="12" t="s">
        <v>97</v>
      </c>
      <c r="D20" s="12" t="s">
        <v>2</v>
      </c>
      <c r="E20" s="12" t="s">
        <v>119</v>
      </c>
      <c r="F20" s="12" t="s">
        <v>120</v>
      </c>
      <c r="G20" s="12"/>
      <c r="J20" s="4"/>
    </row>
    <row r="21" spans="2:13" ht="17.25" x14ac:dyDescent="0.25">
      <c r="B21" s="12" t="s">
        <v>203</v>
      </c>
      <c r="C21" s="12">
        <f>$F$13*C10*$F$16*'Building structures'!$F$16</f>
        <v>6.9435356492343711E-2</v>
      </c>
      <c r="D21" s="12">
        <f>$F$13*D10*$F$16*'Building structures'!$F$16</f>
        <v>4.1936205406266996E-2</v>
      </c>
      <c r="E21" s="12">
        <f>$F$13*G10*$F$16*'Building structures'!$F$16</f>
        <v>2.2686799646013292E-2</v>
      </c>
      <c r="F21" s="12">
        <f>$F$13*H10*$F$16*'Building structures'!$F$16</f>
        <v>8.5934847143989732E-2</v>
      </c>
      <c r="G21" s="12"/>
      <c r="J21" s="4"/>
      <c r="M21" s="4"/>
    </row>
    <row r="22" spans="2:13" x14ac:dyDescent="0.25">
      <c r="B22" s="12" t="s">
        <v>204</v>
      </c>
      <c r="C22" s="12">
        <f>C21*C4</f>
        <v>8.20526608549571</v>
      </c>
      <c r="D22" s="12">
        <f>D21*D4</f>
        <v>2.150201272566699</v>
      </c>
      <c r="E22" s="12">
        <f>E21*C4</f>
        <v>2.6809285229837467</v>
      </c>
      <c r="F22" s="12">
        <f>F21*D4</f>
        <v>4.4061501487022507</v>
      </c>
      <c r="G22" s="12" t="s">
        <v>103</v>
      </c>
      <c r="J22" s="4"/>
      <c r="M22" s="6"/>
    </row>
    <row r="23" spans="2:13" x14ac:dyDescent="0.25">
      <c r="B23" s="12" t="s">
        <v>205</v>
      </c>
      <c r="C23" s="12">
        <f>C22*$F$14*(1-C11)</f>
        <v>21.976984683391709</v>
      </c>
      <c r="D23" s="12">
        <f>D22*$F$14*(1-D11)</f>
        <v>5.7590990884426461</v>
      </c>
      <c r="E23" s="12">
        <f>E22*$F$14*(1-G11)</f>
        <v>5.4298396949624648</v>
      </c>
      <c r="F23" s="12">
        <f>F22*$F$14*(1-H11)</f>
        <v>8.9240308998470432</v>
      </c>
      <c r="G23" s="12">
        <f>D23+C23</f>
        <v>27.736083771834355</v>
      </c>
      <c r="J23" s="4"/>
      <c r="M23" s="4"/>
    </row>
    <row r="24" spans="2:13" x14ac:dyDescent="0.25">
      <c r="E24" s="4"/>
      <c r="F24" s="4"/>
      <c r="G24" s="4"/>
      <c r="H24" s="4"/>
      <c r="J24" s="4"/>
      <c r="M24" s="4"/>
    </row>
    <row r="25" spans="2:13" x14ac:dyDescent="0.25">
      <c r="B25" s="38" t="s">
        <v>70</v>
      </c>
      <c r="C25" s="39"/>
      <c r="D25" s="39"/>
      <c r="E25" s="40"/>
      <c r="M25" s="4"/>
    </row>
    <row r="26" spans="2:13" x14ac:dyDescent="0.25">
      <c r="B26" s="12"/>
      <c r="C26" s="12" t="s">
        <v>97</v>
      </c>
      <c r="D26" s="12" t="s">
        <v>2</v>
      </c>
      <c r="E26" s="12"/>
      <c r="M26" s="4"/>
    </row>
    <row r="27" spans="2:13" x14ac:dyDescent="0.25">
      <c r="B27" s="23" t="s">
        <v>224</v>
      </c>
      <c r="C27" s="12">
        <f>H4</f>
        <v>0.81</v>
      </c>
      <c r="D27" s="12">
        <f>I4</f>
        <v>0.39</v>
      </c>
      <c r="E27" s="12"/>
      <c r="M27" s="4"/>
    </row>
    <row r="28" spans="2:13" x14ac:dyDescent="0.25">
      <c r="B28" s="23" t="s">
        <v>225</v>
      </c>
      <c r="C28" s="12">
        <f>((1-C27)*$C14+C27*$C16)/$C14</f>
        <v>0.83799999999999997</v>
      </c>
      <c r="D28" s="12">
        <f>((1-D27)*$C14+D27*$C16)/$C14</f>
        <v>0.92199999999999993</v>
      </c>
      <c r="E28" s="12"/>
    </row>
    <row r="29" spans="2:13" ht="17.25" x14ac:dyDescent="0.25">
      <c r="B29" s="23" t="s">
        <v>226</v>
      </c>
      <c r="C29" s="12">
        <f>C9*C28*$C14*$C$17</f>
        <v>4.0183776</v>
      </c>
      <c r="D29" s="12">
        <f>D9*D28*$C14*$C$17</f>
        <v>3.8237184000000002</v>
      </c>
      <c r="E29" s="12"/>
    </row>
    <row r="30" spans="2:13" x14ac:dyDescent="0.25">
      <c r="B30" s="23" t="s">
        <v>206</v>
      </c>
      <c r="C30" s="12">
        <f>C29*C4</f>
        <v>474.85689000000002</v>
      </c>
      <c r="D30" s="12">
        <f>D29*D4</f>
        <v>196.05408</v>
      </c>
      <c r="E30" s="12" t="s">
        <v>103</v>
      </c>
      <c r="H30" s="4"/>
      <c r="I30" s="4"/>
    </row>
    <row r="31" spans="2:13" x14ac:dyDescent="0.25">
      <c r="B31" s="23" t="s">
        <v>137</v>
      </c>
      <c r="C31" s="12">
        <f>C30*$F$14</f>
        <v>1271.856694176</v>
      </c>
      <c r="D31" s="12">
        <f>D30*$F$14</f>
        <v>525.11124787199992</v>
      </c>
      <c r="E31" s="12">
        <f>D31+C31</f>
        <v>1796.9679420479999</v>
      </c>
      <c r="G31" s="4"/>
      <c r="H31" s="4"/>
      <c r="I31" s="4"/>
    </row>
    <row r="32" spans="2:13" x14ac:dyDescent="0.25">
      <c r="F32" s="4"/>
      <c r="G32" s="4"/>
      <c r="H32" s="4"/>
    </row>
    <row r="33" spans="2:8" x14ac:dyDescent="0.25">
      <c r="B33" s="13" t="s">
        <v>205</v>
      </c>
      <c r="C33" s="13">
        <f>G23+E31</f>
        <v>1824.7040258198342</v>
      </c>
      <c r="F33" s="4"/>
      <c r="G33" s="4"/>
      <c r="H33" s="4"/>
    </row>
    <row r="34" spans="2:8" x14ac:dyDescent="0.25">
      <c r="F34" s="4"/>
      <c r="G34" s="4"/>
      <c r="H34" s="4"/>
    </row>
    <row r="35" spans="2:8" x14ac:dyDescent="0.25">
      <c r="F35" s="4"/>
      <c r="G35" s="4"/>
      <c r="H35" s="4"/>
    </row>
    <row r="36" spans="2:8" x14ac:dyDescent="0.25">
      <c r="F36" s="6"/>
      <c r="G36" s="4"/>
    </row>
    <row r="37" spans="2:8" x14ac:dyDescent="0.25">
      <c r="F37" s="4"/>
      <c r="G37" s="4"/>
    </row>
  </sheetData>
  <mergeCells count="6">
    <mergeCell ref="B25:E25"/>
    <mergeCell ref="B6:D6"/>
    <mergeCell ref="F6:H6"/>
    <mergeCell ref="G2:J2"/>
    <mergeCell ref="B2:E2"/>
    <mergeCell ref="B19:G1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H11" sqref="H11"/>
    </sheetView>
  </sheetViews>
  <sheetFormatPr defaultRowHeight="15" x14ac:dyDescent="0.25"/>
  <cols>
    <col min="2" max="2" width="18.7109375" bestFit="1" customWidth="1"/>
    <col min="3" max="3" width="17.5703125" bestFit="1" customWidth="1"/>
    <col min="4" max="4" width="15" bestFit="1" customWidth="1"/>
    <col min="5" max="5" width="12" bestFit="1" customWidth="1"/>
  </cols>
  <sheetData>
    <row r="2" spans="2:5" x14ac:dyDescent="0.25">
      <c r="B2" s="44" t="s">
        <v>285</v>
      </c>
      <c r="C2" s="44"/>
      <c r="D2" s="44"/>
    </row>
    <row r="3" spans="2:5" x14ac:dyDescent="0.25">
      <c r="B3" s="12"/>
      <c r="C3" s="13" t="s">
        <v>95</v>
      </c>
      <c r="D3" s="13" t="s">
        <v>104</v>
      </c>
    </row>
    <row r="4" spans="2:5" ht="17.25" x14ac:dyDescent="0.25">
      <c r="B4" s="12" t="s">
        <v>207</v>
      </c>
      <c r="C4" s="12">
        <f>Input!C29</f>
        <v>35</v>
      </c>
      <c r="D4" s="12">
        <f>Input!F29</f>
        <v>15</v>
      </c>
    </row>
    <row r="5" spans="2:5" x14ac:dyDescent="0.25">
      <c r="B5" s="12" t="s">
        <v>4</v>
      </c>
      <c r="C5" s="12"/>
      <c r="D5" s="12">
        <f>Transfer!C6</f>
        <v>0.24381799787664338</v>
      </c>
    </row>
    <row r="6" spans="2:5" x14ac:dyDescent="0.25">
      <c r="B6" s="12" t="s">
        <v>208</v>
      </c>
      <c r="C6" s="12">
        <f>7.987*C4-0.0353*C4^2</f>
        <v>236.30250000000001</v>
      </c>
      <c r="D6" s="12">
        <f>7.987*D4-0.0353*D4^2</f>
        <v>111.86250000000001</v>
      </c>
    </row>
    <row r="8" spans="2:5" x14ac:dyDescent="0.25">
      <c r="B8" s="38" t="s">
        <v>128</v>
      </c>
      <c r="C8" s="39"/>
      <c r="D8" s="39"/>
      <c r="E8" s="40"/>
    </row>
    <row r="9" spans="2:5" x14ac:dyDescent="0.25">
      <c r="B9" s="12" t="s">
        <v>138</v>
      </c>
      <c r="C9" s="12" t="s">
        <v>95</v>
      </c>
      <c r="D9" s="12" t="s">
        <v>104</v>
      </c>
      <c r="E9" s="13" t="s">
        <v>103</v>
      </c>
    </row>
    <row r="10" spans="2:5" x14ac:dyDescent="0.25">
      <c r="B10" s="12" t="s">
        <v>105</v>
      </c>
      <c r="C10" s="12">
        <f>Input!G38*C6</f>
        <v>632.91261599999996</v>
      </c>
      <c r="D10" s="12">
        <f>Input!G38*D6*(1-D5)</f>
        <v>226.56159523482424</v>
      </c>
      <c r="E10" s="13">
        <f>C10+D10</f>
        <v>859.47421123482422</v>
      </c>
    </row>
  </sheetData>
  <mergeCells count="2">
    <mergeCell ref="B2:D2"/>
    <mergeCell ref="B8:E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N14" sqref="N14"/>
    </sheetView>
  </sheetViews>
  <sheetFormatPr defaultRowHeight="15" x14ac:dyDescent="0.25"/>
  <cols>
    <col min="2" max="3" width="12" bestFit="1" customWidth="1"/>
    <col min="5" max="5" width="11.28515625" bestFit="1" customWidth="1"/>
  </cols>
  <sheetData>
    <row r="2" spans="2:5" x14ac:dyDescent="0.25">
      <c r="B2" s="44" t="s">
        <v>126</v>
      </c>
      <c r="C2" s="44"/>
      <c r="D2" s="44"/>
    </row>
    <row r="3" spans="2:5" x14ac:dyDescent="0.25">
      <c r="B3" s="12" t="s">
        <v>210</v>
      </c>
      <c r="C3" s="12">
        <f>'Q sol'!C33+'Q int'!E10</f>
        <v>2684.1782370546584</v>
      </c>
      <c r="D3" s="12" t="s">
        <v>129</v>
      </c>
      <c r="E3" s="5"/>
    </row>
    <row r="4" spans="2:5" x14ac:dyDescent="0.25">
      <c r="B4" s="12" t="s">
        <v>211</v>
      </c>
      <c r="C4" s="12">
        <f>Ventilation!C15/3600+Transfer!C29</f>
        <v>5785.2101141884295</v>
      </c>
      <c r="D4" s="12" t="s">
        <v>129</v>
      </c>
      <c r="E4" s="5"/>
    </row>
    <row r="5" spans="2:5" x14ac:dyDescent="0.25">
      <c r="B5" s="34" t="s">
        <v>212</v>
      </c>
      <c r="C5" s="12">
        <f>C3/C4</f>
        <v>0.46397247188509499</v>
      </c>
      <c r="D5" s="12"/>
      <c r="E5" s="5"/>
    </row>
    <row r="6" spans="2:5" x14ac:dyDescent="0.25">
      <c r="B6" s="34" t="s">
        <v>213</v>
      </c>
      <c r="C6" s="12">
        <f>Transfer!I20+Transfer!I21+Transfer!I22+Transfer!F21</f>
        <v>72.416305914321811</v>
      </c>
      <c r="D6" s="12" t="s">
        <v>183</v>
      </c>
      <c r="E6" s="5"/>
    </row>
    <row r="7" spans="2:5" x14ac:dyDescent="0.25">
      <c r="B7" s="34" t="s">
        <v>217</v>
      </c>
      <c r="C7" s="12">
        <f>Transfer!C20+Transfer!C22+Transfer!C23</f>
        <v>63.925304080358565</v>
      </c>
      <c r="D7" s="12" t="s">
        <v>183</v>
      </c>
    </row>
    <row r="8" spans="2:5" x14ac:dyDescent="0.25">
      <c r="B8" s="34" t="s">
        <v>218</v>
      </c>
      <c r="C8" s="12">
        <f>Transfer!C21</f>
        <v>35.389439999999993</v>
      </c>
      <c r="D8" s="12" t="s">
        <v>183</v>
      </c>
    </row>
    <row r="9" spans="2:5" x14ac:dyDescent="0.25">
      <c r="B9" s="34" t="s">
        <v>219</v>
      </c>
      <c r="C9" s="12">
        <f>IF(Input!B45="y",Ventilation!C29,Ventilation!C14)</f>
        <v>10.499999999999998</v>
      </c>
      <c r="D9" s="12" t="s">
        <v>183</v>
      </c>
      <c r="E9" s="5"/>
    </row>
    <row r="10" spans="2:5" x14ac:dyDescent="0.25">
      <c r="B10" s="34" t="s">
        <v>220</v>
      </c>
      <c r="C10" s="12">
        <f>SUM(C6:C9)</f>
        <v>182.23104999468035</v>
      </c>
      <c r="D10" s="12" t="s">
        <v>183</v>
      </c>
    </row>
    <row r="11" spans="2:5" ht="17.25" x14ac:dyDescent="0.25">
      <c r="B11" s="34" t="s">
        <v>221</v>
      </c>
      <c r="C11" s="12">
        <v>125</v>
      </c>
      <c r="D11" s="12" t="s">
        <v>209</v>
      </c>
    </row>
    <row r="12" spans="2:5" ht="17.25" x14ac:dyDescent="0.25">
      <c r="B12" s="34" t="s">
        <v>222</v>
      </c>
      <c r="C12" s="12">
        <f>Input!G6+Input!G7+3*Input!G8+2*Input!C29</f>
        <v>134.44</v>
      </c>
      <c r="D12" s="12" t="s">
        <v>170</v>
      </c>
      <c r="E12" s="5"/>
    </row>
    <row r="13" spans="2:5" x14ac:dyDescent="0.25">
      <c r="B13" s="34" t="s">
        <v>93</v>
      </c>
      <c r="C13" s="12">
        <f>C11/C10*C12*1000/3600</f>
        <v>25.616137072643898</v>
      </c>
      <c r="D13" s="12" t="s">
        <v>194</v>
      </c>
      <c r="E13" s="5"/>
    </row>
    <row r="14" spans="2:5" x14ac:dyDescent="0.25">
      <c r="B14" s="34" t="s">
        <v>215</v>
      </c>
      <c r="C14" s="12">
        <v>1</v>
      </c>
      <c r="D14" s="12"/>
    </row>
    <row r="15" spans="2:5" x14ac:dyDescent="0.25">
      <c r="B15" s="34" t="s">
        <v>216</v>
      </c>
      <c r="C15" s="12">
        <v>15</v>
      </c>
      <c r="D15" s="12" t="s">
        <v>194</v>
      </c>
    </row>
    <row r="16" spans="2:5" x14ac:dyDescent="0.25">
      <c r="B16" s="34" t="s">
        <v>223</v>
      </c>
      <c r="C16" s="12">
        <f>C14+C13/C15</f>
        <v>2.7077424715095932</v>
      </c>
      <c r="D16" s="12"/>
    </row>
    <row r="17" spans="2:4" x14ac:dyDescent="0.25">
      <c r="B17" s="34" t="s">
        <v>214</v>
      </c>
      <c r="C17" s="12">
        <f>(1-C5^C16)/(1-C5^(C16+1))</f>
        <v>0.928864944752682</v>
      </c>
      <c r="D17" s="12"/>
    </row>
  </sheetData>
  <mergeCells count="1">
    <mergeCell ref="B2:D2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Input</vt:lpstr>
      <vt:lpstr>Building structures</vt:lpstr>
      <vt:lpstr>Building windows</vt:lpstr>
      <vt:lpstr>Radiation</vt:lpstr>
      <vt:lpstr>Transfer</vt:lpstr>
      <vt:lpstr>Ventilation</vt:lpstr>
      <vt:lpstr>Q sol</vt:lpstr>
      <vt:lpstr>Q int</vt:lpstr>
      <vt:lpstr>eta calculation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2016-11-23T07:46:43Z</dcterms:modified>
</cp:coreProperties>
</file>